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20" yWindow="-120" windowWidth="19440" windowHeight="11160" tabRatio="879" firstSheet="58" activeTab="59"/>
  </bookViews>
  <sheets>
    <sheet name="First-Page" sheetId="110" r:id="rId1"/>
    <sheet name="Contents" sheetId="140" r:id="rId2"/>
    <sheet name="Sheet1" sheetId="134" r:id="rId3"/>
    <sheet name="AT-1-Gen_Info " sheetId="56" r:id="rId4"/>
    <sheet name="AT-2-S1 BUDGET" sheetId="96" r:id="rId5"/>
    <sheet name="AT_2A_fundflow" sheetId="99" r:id="rId6"/>
    <sheet name="AT-2B_DBT" sheetId="157" r:id="rId7"/>
    <sheet name="AT-3" sheetId="100" r:id="rId8"/>
    <sheet name="AT3A_cvrg(Insti)_PY" sheetId="1" r:id="rId9"/>
    <sheet name="AT3B_cvrg(Insti)_UPY " sheetId="58" r:id="rId10"/>
    <sheet name="AT3C_cvrg(Insti)_UPY " sheetId="59" r:id="rId11"/>
    <sheet name="enrolment vs availed_PY" sheetId="60" r:id="rId12"/>
    <sheet name="enrolment vs availed_UPY" sheetId="47" r:id="rId13"/>
    <sheet name="AT-4B" sheetId="141" r:id="rId14"/>
    <sheet name="T5_PLAN_vs_PRFM" sheetId="4" r:id="rId15"/>
    <sheet name="T5A_PLAN_vs_PRFM " sheetId="111" r:id="rId16"/>
    <sheet name="T5B_PLAN_vs_PRFM  (2)" sheetId="127" r:id="rId17"/>
    <sheet name="T5C_Drought_PLAN_vs_PRFM " sheetId="113" r:id="rId18"/>
    <sheet name="T5D_Drought_PLAN_vs_PRFM  " sheetId="112" r:id="rId19"/>
    <sheet name="T6_FG_py_Utlsn" sheetId="5" r:id="rId20"/>
    <sheet name="T6A_FG_Upy_Utlsn " sheetId="74" r:id="rId21"/>
    <sheet name="T6B_Pay_FG_FCI_Pry" sheetId="86" r:id="rId22"/>
    <sheet name="T6C_Coarse_Grain" sheetId="128" r:id="rId23"/>
    <sheet name="T7_CC_PY_Utlsn" sheetId="7" r:id="rId24"/>
    <sheet name="T7ACC_UPY_Utlsn " sheetId="75" r:id="rId25"/>
    <sheet name="AT-8_Hon_CCH_Pry" sheetId="88" r:id="rId26"/>
    <sheet name="AT-8A_Hon_CCH_UPry" sheetId="114" r:id="rId27"/>
    <sheet name="AT9_TA" sheetId="13" r:id="rId28"/>
    <sheet name="AT10_MME" sheetId="14" r:id="rId29"/>
    <sheet name="AT10A_" sheetId="138" r:id="rId30"/>
    <sheet name="AT-10 B" sheetId="121" r:id="rId31"/>
    <sheet name="AT-10 C" sheetId="123" r:id="rId32"/>
    <sheet name="AT-10D" sheetId="102" r:id="rId33"/>
    <sheet name="AT-10 E" sheetId="142" r:id="rId34"/>
    <sheet name="AT-10 F" sheetId="155" r:id="rId35"/>
    <sheet name="AT11_KS Year wise" sheetId="115" r:id="rId36"/>
    <sheet name="AT11A_KS-District wise" sheetId="16" r:id="rId37"/>
    <sheet name="AT12_KD-New" sheetId="26" r:id="rId38"/>
    <sheet name="AT12A_KD-Replacement" sheetId="117" r:id="rId39"/>
    <sheet name="Mode of cooking" sheetId="103" r:id="rId40"/>
    <sheet name="AT-14" sheetId="124" r:id="rId41"/>
    <sheet name="AT-14 A" sheetId="135" r:id="rId42"/>
    <sheet name="AT-15" sheetId="132" r:id="rId43"/>
    <sheet name="AT-16" sheetId="133" r:id="rId44"/>
    <sheet name="AT_17_Coverage-RBSK " sheetId="93" r:id="rId45"/>
    <sheet name="AT18_Details_Community " sheetId="66" r:id="rId46"/>
    <sheet name="AT_19_Impl_Agency" sheetId="84" r:id="rId47"/>
    <sheet name="AT_20_CentralCookingagency " sheetId="119" r:id="rId48"/>
    <sheet name="AT-21" sheetId="105" r:id="rId49"/>
    <sheet name="AT-22" sheetId="108" r:id="rId50"/>
    <sheet name="AT-23 MIS" sheetId="101" r:id="rId51"/>
    <sheet name="AT-23A _AMS" sheetId="139" r:id="rId52"/>
    <sheet name="AT-24" sheetId="104" r:id="rId53"/>
    <sheet name="AT-25" sheetId="109" r:id="rId54"/>
    <sheet name="Sheet1 (2)" sheetId="137" r:id="rId55"/>
    <sheet name="AT26_NoWD" sheetId="27" r:id="rId56"/>
    <sheet name="AT26A_NoWD" sheetId="28" r:id="rId57"/>
    <sheet name="AT27_Req_FG_CA_Pry" sheetId="29" r:id="rId58"/>
    <sheet name="AT27A_Req_FG_CA_U Pry  (2)" sheetId="160" r:id="rId59"/>
    <sheet name="AT27A-1_Req_FG_CA_U Pry " sheetId="144" r:id="rId60"/>
    <sheet name="AT27B_Req_FG_CA_N CLP" sheetId="145" r:id="rId61"/>
    <sheet name="AT27C_Req_FG_Drought -Pry " sheetId="146" r:id="rId62"/>
    <sheet name="AT27D_Req_FG_Drought -UPry " sheetId="147" r:id="rId63"/>
    <sheet name="AT_28_RqmtKitchen" sheetId="62" r:id="rId64"/>
    <sheet name="AT-28A_RqmtPlinthArea" sheetId="78" r:id="rId65"/>
    <sheet name="AT-28B_Kitchen repair" sheetId="152" r:id="rId66"/>
    <sheet name="AT29_Replacement KD " sheetId="154" r:id="rId67"/>
    <sheet name="AT29_A_Replacement KD" sheetId="153" r:id="rId68"/>
    <sheet name="AT-30_Coook-cum-Helper" sheetId="65" r:id="rId69"/>
    <sheet name="AT_31_Budget_provision " sheetId="98" r:id="rId70"/>
    <sheet name="AT32_Drought Pry Util" sheetId="148" r:id="rId71"/>
    <sheet name="AT-32A Drought UPry Util" sheetId="149" r:id="rId72"/>
  </sheets>
  <definedNames>
    <definedName name="_xlnm._FilterDatabase" localSheetId="30" hidden="1">'AT-10 B'!$A$11:$J$11</definedName>
    <definedName name="_xlnm._FilterDatabase" localSheetId="33" hidden="1">'AT-10 E'!$A$8:$M$43</definedName>
    <definedName name="_xlnm._FilterDatabase" localSheetId="7" hidden="1">'AT-3'!$A$8:$K$8</definedName>
    <definedName name="_xlnm._FilterDatabase" localSheetId="21" hidden="1">T6B_Pay_FG_FCI_Pry!$A$12:$O$12</definedName>
    <definedName name="_xlnm.Print_Area" localSheetId="44">'AT_17_Coverage-RBSK '!$A$1:$L$53</definedName>
    <definedName name="_xlnm.Print_Area" localSheetId="46">AT_19_Impl_Agency!$A$1:$J$59</definedName>
    <definedName name="_xlnm.Print_Area" localSheetId="47">'AT_20_CentralCookingagency '!$A$27:$M$52</definedName>
    <definedName name="_xlnm.Print_Area" localSheetId="63">AT_28_RqmtKitchen!$A$1:$R$49</definedName>
    <definedName name="_xlnm.Print_Area" localSheetId="5">AT_2A_fundflow!$A$1:$W$32</definedName>
    <definedName name="_xlnm.Print_Area" localSheetId="69">'AT_31_Budget_provision '!$A$1:$AD$36</definedName>
    <definedName name="_xlnm.Print_Area" localSheetId="30">'AT-10 B'!$A$1:$I$54</definedName>
    <definedName name="_xlnm.Print_Area" localSheetId="31">'AT-10 C'!$A$1:$J$49</definedName>
    <definedName name="_xlnm.Print_Area" localSheetId="33">'AT-10 E'!$A$1:$H$50</definedName>
    <definedName name="_xlnm.Print_Area" localSheetId="34">'AT-10 F'!$A$1:$H$50</definedName>
    <definedName name="_xlnm.Print_Area" localSheetId="28">AT10_MME!$A$1:$H$34</definedName>
    <definedName name="_xlnm.Print_Area" localSheetId="29">AT10A_!$A$1:$E$55</definedName>
    <definedName name="_xlnm.Print_Area" localSheetId="32">'AT-10D'!$A$1:$H$36</definedName>
    <definedName name="_xlnm.Print_Area" localSheetId="35">'AT11_KS Year wise'!$A$1:$K$33</definedName>
    <definedName name="_xlnm.Print_Area" localSheetId="36">'AT11A_KS-District wise'!$A$1:$K$55</definedName>
    <definedName name="_xlnm.Print_Area" localSheetId="37">'AT12_KD-New'!$A$1:$K$57</definedName>
    <definedName name="_xlnm.Print_Area" localSheetId="38">'AT12A_KD-Replacement'!$A$1:$K$56</definedName>
    <definedName name="_xlnm.Print_Area" localSheetId="40">'AT-14'!$A$1:$O$51</definedName>
    <definedName name="_xlnm.Print_Area" localSheetId="41">'AT-14 A'!$A$1:$H$49</definedName>
    <definedName name="_xlnm.Print_Area" localSheetId="42">'AT-15'!$A$1:$L$50</definedName>
    <definedName name="_xlnm.Print_Area" localSheetId="43">'AT-16'!$A$1:$K$50</definedName>
    <definedName name="_xlnm.Print_Area" localSheetId="45">'AT18_Details_Community '!$A$1:$F$53</definedName>
    <definedName name="_xlnm.Print_Area" localSheetId="3">'AT-1-Gen_Info '!$A$1:$T$58</definedName>
    <definedName name="_xlnm.Print_Area" localSheetId="51">'AT-23A _AMS'!$A$1:$L$56</definedName>
    <definedName name="_xlnm.Print_Area" localSheetId="52">'AT-24'!$A$1:$M$47</definedName>
    <definedName name="_xlnm.Print_Area" localSheetId="53">'AT-25'!$A$1:$F$49</definedName>
    <definedName name="_xlnm.Print_Area" localSheetId="55">AT26_NoWD!$A$1:$L$29</definedName>
    <definedName name="_xlnm.Print_Area" localSheetId="56">AT26A_NoWD!$A$1:$K$32</definedName>
    <definedName name="_xlnm.Print_Area" localSheetId="57">AT27_Req_FG_CA_Pry!$A$1:$T$55</definedName>
    <definedName name="_xlnm.Print_Area" localSheetId="58">'AT27A_Req_FG_CA_U Pry  (2)'!$A$1:$T$54</definedName>
    <definedName name="_xlnm.Print_Area" localSheetId="59">'AT27A-1_Req_FG_CA_U Pry '!$A$1:$O$54</definedName>
    <definedName name="_xlnm.Print_Area" localSheetId="60">'AT27B_Req_FG_CA_N CLP'!$A$1:$P$52</definedName>
    <definedName name="_xlnm.Print_Area" localSheetId="61">'AT27C_Req_FG_Drought -Pry '!$A$1:$P$36</definedName>
    <definedName name="_xlnm.Print_Area" localSheetId="62">'AT27D_Req_FG_Drought -UPry '!$A$1:$P$37</definedName>
    <definedName name="_xlnm.Print_Area" localSheetId="64">'AT-28A_RqmtPlinthArea'!$A$1:$S$53</definedName>
    <definedName name="_xlnm.Print_Area" localSheetId="65">'AT-28B_Kitchen repair'!$A$1:$G$55</definedName>
    <definedName name="_xlnm.Print_Area" localSheetId="67">'AT29_A_Replacement KD'!$A$1:$V$51</definedName>
    <definedName name="_xlnm.Print_Area" localSheetId="66">'AT29_Replacement KD '!$A$1:$V$54</definedName>
    <definedName name="_xlnm.Print_Area" localSheetId="6">'AT-2B_DBT'!$A$1:$L$34</definedName>
    <definedName name="_xlnm.Print_Area" localSheetId="4">'AT-2-S1 BUDGET'!$A$1:$V$33</definedName>
    <definedName name="_xlnm.Print_Area" localSheetId="68">'AT-30_Coook-cum-Helper'!$A$1:$L$52</definedName>
    <definedName name="_xlnm.Print_Area" localSheetId="70">'AT32_Drought Pry Util'!$A$1:$L$53</definedName>
    <definedName name="_xlnm.Print_Area" localSheetId="71">'AT-32A Drought UPry Util'!$A$1:$L$53</definedName>
    <definedName name="_xlnm.Print_Area" localSheetId="8">'AT3A_cvrg(Insti)_PY'!$A$1:$N$58</definedName>
    <definedName name="_xlnm.Print_Area" localSheetId="9">'AT3B_cvrg(Insti)_UPY '!$A$1:$N$58</definedName>
    <definedName name="_xlnm.Print_Area" localSheetId="10">'AT3C_cvrg(Insti)_UPY '!$A$1:$N$57</definedName>
    <definedName name="_xlnm.Print_Area" localSheetId="25">'AT-8_Hon_CCH_Pry'!$A$1:$V$56</definedName>
    <definedName name="_xlnm.Print_Area" localSheetId="26">'AT-8A_Hon_CCH_UPry'!$A$1:$V$58</definedName>
    <definedName name="_xlnm.Print_Area" localSheetId="27">AT9_TA!$A$1:$I$55</definedName>
    <definedName name="_xlnm.Print_Area" localSheetId="1">Contents!$A$1:$C$69</definedName>
    <definedName name="_xlnm.Print_Area" localSheetId="11">'enrolment vs availed_PY'!$A$1:$Q$59</definedName>
    <definedName name="_xlnm.Print_Area" localSheetId="12">'enrolment vs availed_UPY'!$A$1:$Q$58</definedName>
    <definedName name="_xlnm.Print_Area" localSheetId="0">'First-Page'!$A$1:$O$44</definedName>
    <definedName name="_xlnm.Print_Area" localSheetId="39">'Mode of cooking'!$A$1:$H$50</definedName>
    <definedName name="_xlnm.Print_Area" localSheetId="2">Sheet1!$A$1:$J$24</definedName>
    <definedName name="_xlnm.Print_Area" localSheetId="54">'Sheet1 (2)'!$A$1:$J$24</definedName>
    <definedName name="_xlnm.Print_Area" localSheetId="14">T5_PLAN_vs_PRFM!$A$1:$J$57</definedName>
    <definedName name="_xlnm.Print_Area" localSheetId="15">'T5A_PLAN_vs_PRFM '!$A$1:$J$56</definedName>
    <definedName name="_xlnm.Print_Area" localSheetId="16">'T5B_PLAN_vs_PRFM  (2)'!$A$1:$J$57</definedName>
    <definedName name="_xlnm.Print_Area" localSheetId="17">'T5C_Drought_PLAN_vs_PRFM '!$A$1:$J$58</definedName>
    <definedName name="_xlnm.Print_Area" localSheetId="18">'T5D_Drought_PLAN_vs_PRFM  '!$A$1:$J$58</definedName>
    <definedName name="_xlnm.Print_Area" localSheetId="19">T6_FG_py_Utlsn!$A$1:$L$56</definedName>
    <definedName name="_xlnm.Print_Area" localSheetId="20">'T6A_FG_Upy_Utlsn '!$A$1:$L$56</definedName>
    <definedName name="_xlnm.Print_Area" localSheetId="21">T6B_Pay_FG_FCI_Pry!$A$1:$M$56</definedName>
    <definedName name="_xlnm.Print_Area" localSheetId="22">T6C_Coarse_Grain!$A$1:$L$55</definedName>
    <definedName name="_xlnm.Print_Area" localSheetId="23">T7_CC_PY_Utlsn!$A$1:$Q$59</definedName>
    <definedName name="_xlnm.Print_Area" localSheetId="24">'T7ACC_UPY_Utlsn '!$A$1:$Q$57</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44"/>
  <c r="G10"/>
  <c r="G11"/>
  <c r="G12"/>
  <c r="G13"/>
  <c r="G14"/>
  <c r="G15"/>
  <c r="G16"/>
  <c r="G17"/>
  <c r="G18"/>
  <c r="G19"/>
  <c r="G20"/>
  <c r="G21"/>
  <c r="G22"/>
  <c r="G23"/>
  <c r="G24"/>
  <c r="G25"/>
  <c r="G26"/>
  <c r="G27"/>
  <c r="G28"/>
  <c r="G29"/>
  <c r="G30"/>
  <c r="G31"/>
  <c r="G32"/>
  <c r="G33"/>
  <c r="G34"/>
  <c r="G35"/>
  <c r="G36"/>
  <c r="G37"/>
  <c r="G38"/>
  <c r="G39"/>
  <c r="G40"/>
  <c r="G41"/>
  <c r="G42"/>
  <c r="G8"/>
  <c r="H8" s="1"/>
  <c r="H9"/>
  <c r="H10"/>
  <c r="H11"/>
  <c r="H12"/>
  <c r="H13"/>
  <c r="H14"/>
  <c r="H15"/>
  <c r="H16"/>
  <c r="H17"/>
  <c r="H18"/>
  <c r="H19"/>
  <c r="H20"/>
  <c r="H21"/>
  <c r="H22"/>
  <c r="H23"/>
  <c r="H24"/>
  <c r="H25"/>
  <c r="H26"/>
  <c r="H27"/>
  <c r="H28"/>
  <c r="H29"/>
  <c r="H30"/>
  <c r="H31"/>
  <c r="H32"/>
  <c r="H33"/>
  <c r="H34"/>
  <c r="H35"/>
  <c r="H36"/>
  <c r="H37"/>
  <c r="H38"/>
  <c r="H39"/>
  <c r="H40"/>
  <c r="H41"/>
  <c r="H42" l="1"/>
  <c r="F17" i="98"/>
  <c r="J17" s="1"/>
  <c r="T11" i="160"/>
  <c r="C42" i="144" l="1"/>
  <c r="D42"/>
  <c r="F19" i="147"/>
  <c r="G19"/>
  <c r="E19" s="1"/>
  <c r="C18"/>
  <c r="C11"/>
  <c r="C29" s="1"/>
  <c r="C18" i="146"/>
  <c r="C11"/>
  <c r="F28" l="1"/>
  <c r="F27"/>
  <c r="F26"/>
  <c r="F25"/>
  <c r="F24"/>
  <c r="F23"/>
  <c r="F22"/>
  <c r="F21"/>
  <c r="F20"/>
  <c r="F19"/>
  <c r="F18"/>
  <c r="F17"/>
  <c r="F16"/>
  <c r="F15"/>
  <c r="G14"/>
  <c r="G12"/>
  <c r="F11"/>
  <c r="F12" i="147"/>
  <c r="G12"/>
  <c r="F13"/>
  <c r="G13"/>
  <c r="F14"/>
  <c r="G14"/>
  <c r="F15"/>
  <c r="G15"/>
  <c r="F16"/>
  <c r="G16"/>
  <c r="F17"/>
  <c r="G17"/>
  <c r="F18"/>
  <c r="G18"/>
  <c r="F20"/>
  <c r="G20"/>
  <c r="F21"/>
  <c r="G21"/>
  <c r="F22"/>
  <c r="G22"/>
  <c r="F23"/>
  <c r="G23"/>
  <c r="F24"/>
  <c r="G24"/>
  <c r="F25"/>
  <c r="G25"/>
  <c r="F26"/>
  <c r="G26"/>
  <c r="F27"/>
  <c r="G27"/>
  <c r="F28"/>
  <c r="G28"/>
  <c r="G11"/>
  <c r="F11"/>
  <c r="F13" i="146"/>
  <c r="G13"/>
  <c r="F12" i="145"/>
  <c r="G12"/>
  <c r="F13"/>
  <c r="G13"/>
  <c r="F14"/>
  <c r="G14"/>
  <c r="F15"/>
  <c r="G15"/>
  <c r="F16"/>
  <c r="G16"/>
  <c r="F17"/>
  <c r="G17"/>
  <c r="F18"/>
  <c r="G18"/>
  <c r="F19"/>
  <c r="G19"/>
  <c r="F20"/>
  <c r="G20"/>
  <c r="F21"/>
  <c r="G21"/>
  <c r="F22"/>
  <c r="G22"/>
  <c r="F23"/>
  <c r="G23"/>
  <c r="F24"/>
  <c r="G24"/>
  <c r="F25"/>
  <c r="G25"/>
  <c r="F26"/>
  <c r="G26"/>
  <c r="F27"/>
  <c r="G27"/>
  <c r="F28"/>
  <c r="G28"/>
  <c r="F29"/>
  <c r="G29"/>
  <c r="F30"/>
  <c r="G30"/>
  <c r="F31"/>
  <c r="G31"/>
  <c r="F32"/>
  <c r="G32"/>
  <c r="F33"/>
  <c r="G33"/>
  <c r="F34"/>
  <c r="G34"/>
  <c r="F35"/>
  <c r="G35"/>
  <c r="F36"/>
  <c r="G36"/>
  <c r="F37"/>
  <c r="G37"/>
  <c r="F38"/>
  <c r="G38"/>
  <c r="F39"/>
  <c r="G39"/>
  <c r="F40"/>
  <c r="G40"/>
  <c r="F41"/>
  <c r="G41"/>
  <c r="F42"/>
  <c r="G42"/>
  <c r="F43"/>
  <c r="G43"/>
  <c r="F44"/>
  <c r="G44"/>
  <c r="G11"/>
  <c r="F11"/>
  <c r="E17" i="147" l="1"/>
  <c r="E15"/>
  <c r="E13"/>
  <c r="E23"/>
  <c r="E26"/>
  <c r="E24"/>
  <c r="E20"/>
  <c r="E16"/>
  <c r="E28"/>
  <c r="E27"/>
  <c r="E25"/>
  <c r="E21"/>
  <c r="E14"/>
  <c r="E12"/>
  <c r="E13" i="146"/>
  <c r="E22" i="147"/>
  <c r="E18"/>
  <c r="E11"/>
  <c r="G28" i="146"/>
  <c r="E28" s="1"/>
  <c r="G27"/>
  <c r="E27" s="1"/>
  <c r="G26"/>
  <c r="E26" s="1"/>
  <c r="G25"/>
  <c r="E25" s="1"/>
  <c r="G24"/>
  <c r="E24" s="1"/>
  <c r="G23"/>
  <c r="E23" s="1"/>
  <c r="G22"/>
  <c r="E22" s="1"/>
  <c r="G21"/>
  <c r="E21" s="1"/>
  <c r="G20"/>
  <c r="E20" s="1"/>
  <c r="G19"/>
  <c r="E19" s="1"/>
  <c r="G18"/>
  <c r="E18" s="1"/>
  <c r="G17"/>
  <c r="E17" s="1"/>
  <c r="G16"/>
  <c r="E16" s="1"/>
  <c r="G15"/>
  <c r="E15" s="1"/>
  <c r="F14"/>
  <c r="E14" s="1"/>
  <c r="F12"/>
  <c r="E12" s="1"/>
  <c r="G11"/>
  <c r="E11" s="1"/>
  <c r="G12" i="152"/>
  <c r="G13"/>
  <c r="G14"/>
  <c r="G15"/>
  <c r="G16"/>
  <c r="G17"/>
  <c r="G18"/>
  <c r="G19"/>
  <c r="G20"/>
  <c r="G21"/>
  <c r="G22"/>
  <c r="G23"/>
  <c r="G24"/>
  <c r="G25"/>
  <c r="G26"/>
  <c r="G27"/>
  <c r="G28"/>
  <c r="G29"/>
  <c r="G30"/>
  <c r="G31"/>
  <c r="G32"/>
  <c r="G33"/>
  <c r="G34"/>
  <c r="G35"/>
  <c r="G36"/>
  <c r="G37"/>
  <c r="G38"/>
  <c r="G39"/>
  <c r="G40"/>
  <c r="G41"/>
  <c r="G42"/>
  <c r="G43"/>
  <c r="G44"/>
  <c r="G11"/>
  <c r="O25" i="98"/>
  <c r="P25"/>
  <c r="Q25"/>
  <c r="R25"/>
  <c r="S25"/>
  <c r="T25"/>
  <c r="U25"/>
  <c r="V25"/>
  <c r="W25"/>
  <c r="X25"/>
  <c r="Y25"/>
  <c r="Z25"/>
  <c r="J20"/>
  <c r="V20"/>
  <c r="G16" i="102" l="1"/>
  <c r="G17"/>
  <c r="G18"/>
  <c r="G15"/>
  <c r="E19"/>
  <c r="E27" s="1"/>
  <c r="F19"/>
  <c r="F27" s="1"/>
  <c r="D19"/>
  <c r="D27" s="1"/>
  <c r="Z18" i="98" l="1"/>
  <c r="K46" i="160" l="1"/>
  <c r="J46"/>
  <c r="R45"/>
  <c r="Q45"/>
  <c r="P45"/>
  <c r="O45"/>
  <c r="F45"/>
  <c r="E45"/>
  <c r="D45"/>
  <c r="C45"/>
  <c r="T44"/>
  <c r="G44"/>
  <c r="N44" s="1"/>
  <c r="M44" s="1"/>
  <c r="T43"/>
  <c r="G43"/>
  <c r="N43" s="1"/>
  <c r="M43" s="1"/>
  <c r="T42"/>
  <c r="G42"/>
  <c r="N42" s="1"/>
  <c r="M42" s="1"/>
  <c r="T41"/>
  <c r="G41"/>
  <c r="T40"/>
  <c r="G40"/>
  <c r="N40" s="1"/>
  <c r="M40" s="1"/>
  <c r="T39"/>
  <c r="G39"/>
  <c r="N39" s="1"/>
  <c r="M39" s="1"/>
  <c r="T38"/>
  <c r="G38"/>
  <c r="N38" s="1"/>
  <c r="M38" s="1"/>
  <c r="T37"/>
  <c r="G37"/>
  <c r="T36"/>
  <c r="G36"/>
  <c r="N36" s="1"/>
  <c r="M36" s="1"/>
  <c r="T35"/>
  <c r="G35"/>
  <c r="N35" s="1"/>
  <c r="M35" s="1"/>
  <c r="T34"/>
  <c r="G34"/>
  <c r="N34" s="1"/>
  <c r="M34" s="1"/>
  <c r="T33"/>
  <c r="G33"/>
  <c r="T32"/>
  <c r="G32"/>
  <c r="N32" s="1"/>
  <c r="M32" s="1"/>
  <c r="T31"/>
  <c r="G31"/>
  <c r="N31" s="1"/>
  <c r="M31" s="1"/>
  <c r="T30"/>
  <c r="G30"/>
  <c r="N30" s="1"/>
  <c r="M30" s="1"/>
  <c r="T29"/>
  <c r="G29"/>
  <c r="T28"/>
  <c r="G28"/>
  <c r="N28" s="1"/>
  <c r="M28" s="1"/>
  <c r="T27"/>
  <c r="G27"/>
  <c r="N27" s="1"/>
  <c r="M27" s="1"/>
  <c r="T26"/>
  <c r="G26"/>
  <c r="N26" s="1"/>
  <c r="M26" s="1"/>
  <c r="T25"/>
  <c r="G25"/>
  <c r="T24"/>
  <c r="G24"/>
  <c r="N24" s="1"/>
  <c r="M24" s="1"/>
  <c r="T23"/>
  <c r="G23"/>
  <c r="N23" s="1"/>
  <c r="M23" s="1"/>
  <c r="T22"/>
  <c r="G22"/>
  <c r="N22" s="1"/>
  <c r="M22" s="1"/>
  <c r="T21"/>
  <c r="G21"/>
  <c r="T20"/>
  <c r="G20"/>
  <c r="N20" s="1"/>
  <c r="M20" s="1"/>
  <c r="T19"/>
  <c r="G19"/>
  <c r="N19" s="1"/>
  <c r="M19" s="1"/>
  <c r="T18"/>
  <c r="G18"/>
  <c r="N18" s="1"/>
  <c r="M18" s="1"/>
  <c r="T17"/>
  <c r="G17"/>
  <c r="T16"/>
  <c r="G16"/>
  <c r="N16" s="1"/>
  <c r="M16" s="1"/>
  <c r="T15"/>
  <c r="G15"/>
  <c r="N15" s="1"/>
  <c r="M15" s="1"/>
  <c r="T14"/>
  <c r="G14"/>
  <c r="N14" s="1"/>
  <c r="M14" s="1"/>
  <c r="T13"/>
  <c r="G13"/>
  <c r="T12"/>
  <c r="G12"/>
  <c r="N12" s="1"/>
  <c r="M12" s="1"/>
  <c r="G11"/>
  <c r="N11" l="1"/>
  <c r="M11" s="1"/>
  <c r="L32" i="144"/>
  <c r="M41"/>
  <c r="M21"/>
  <c r="M24"/>
  <c r="L9"/>
  <c r="L29"/>
  <c r="G45" i="160"/>
  <c r="M37" i="144"/>
  <c r="M25"/>
  <c r="L16"/>
  <c r="L24"/>
  <c r="N13" i="160"/>
  <c r="M13" s="1"/>
  <c r="N17"/>
  <c r="M17" s="1"/>
  <c r="N21"/>
  <c r="M21" s="1"/>
  <c r="N25"/>
  <c r="M25" s="1"/>
  <c r="N29"/>
  <c r="M29" s="1"/>
  <c r="N33"/>
  <c r="M33" s="1"/>
  <c r="N37"/>
  <c r="M37" s="1"/>
  <c r="N41"/>
  <c r="M41" s="1"/>
  <c r="L42" i="144"/>
  <c r="M42"/>
  <c r="L41"/>
  <c r="L33"/>
  <c r="M33"/>
  <c r="L25"/>
  <c r="L17"/>
  <c r="M17"/>
  <c r="L40"/>
  <c r="M40"/>
  <c r="M29"/>
  <c r="L13"/>
  <c r="M13"/>
  <c r="M32"/>
  <c r="N32" s="1"/>
  <c r="M16"/>
  <c r="T45" i="160"/>
  <c r="N17" i="144" l="1"/>
  <c r="N16"/>
  <c r="N41"/>
  <c r="N25"/>
  <c r="L21"/>
  <c r="N21" s="1"/>
  <c r="M9"/>
  <c r="N9" s="1"/>
  <c r="N42"/>
  <c r="L37"/>
  <c r="N37" s="1"/>
  <c r="N29"/>
  <c r="N13"/>
  <c r="N40"/>
  <c r="N24"/>
  <c r="L12"/>
  <c r="M12"/>
  <c r="N45" i="160"/>
  <c r="M45"/>
  <c r="L19" i="144"/>
  <c r="M19"/>
  <c r="M35"/>
  <c r="L35"/>
  <c r="M36"/>
  <c r="L36"/>
  <c r="N33"/>
  <c r="L34"/>
  <c r="M34"/>
  <c r="L26"/>
  <c r="M26"/>
  <c r="L18"/>
  <c r="M18"/>
  <c r="M10"/>
  <c r="L10"/>
  <c r="L23"/>
  <c r="M23"/>
  <c r="L11"/>
  <c r="M11"/>
  <c r="M27"/>
  <c r="L27"/>
  <c r="M20"/>
  <c r="L20"/>
  <c r="M38"/>
  <c r="L38"/>
  <c r="L30"/>
  <c r="M30"/>
  <c r="M22"/>
  <c r="L22"/>
  <c r="L14"/>
  <c r="M14"/>
  <c r="M8"/>
  <c r="L8"/>
  <c r="L39"/>
  <c r="M39"/>
  <c r="L15"/>
  <c r="M15"/>
  <c r="L31"/>
  <c r="M31"/>
  <c r="L28"/>
  <c r="M28"/>
  <c r="N22" l="1"/>
  <c r="N38"/>
  <c r="N31"/>
  <c r="N39"/>
  <c r="N10"/>
  <c r="N14"/>
  <c r="N30"/>
  <c r="N28"/>
  <c r="N18"/>
  <c r="N34"/>
  <c r="N8"/>
  <c r="N11"/>
  <c r="N19"/>
  <c r="N27"/>
  <c r="N35"/>
  <c r="N12"/>
  <c r="N15"/>
  <c r="N20"/>
  <c r="N23"/>
  <c r="N26"/>
  <c r="N36"/>
  <c r="D45" i="152"/>
  <c r="G43" i="142"/>
  <c r="E44" i="152" l="1"/>
  <c r="E42"/>
  <c r="E41"/>
  <c r="F41" s="1"/>
  <c r="E40"/>
  <c r="F40" s="1"/>
  <c r="E38"/>
  <c r="E37"/>
  <c r="F37" s="1"/>
  <c r="E36"/>
  <c r="F36" s="1"/>
  <c r="E34"/>
  <c r="E32"/>
  <c r="F32" s="1"/>
  <c r="E30"/>
  <c r="E29"/>
  <c r="F29" s="1"/>
  <c r="E28"/>
  <c r="F28" s="1"/>
  <c r="E26"/>
  <c r="E25"/>
  <c r="F25" s="1"/>
  <c r="E24"/>
  <c r="E22"/>
  <c r="E21"/>
  <c r="F21" s="1"/>
  <c r="E20"/>
  <c r="F20" s="1"/>
  <c r="E18"/>
  <c r="E16"/>
  <c r="E14"/>
  <c r="E13"/>
  <c r="F13" s="1"/>
  <c r="E12"/>
  <c r="E11"/>
  <c r="I46" i="29"/>
  <c r="F11" i="152" l="1"/>
  <c r="G45"/>
  <c r="F16"/>
  <c r="F12"/>
  <c r="E17"/>
  <c r="F17" s="1"/>
  <c r="E33"/>
  <c r="F33" s="1"/>
  <c r="F44"/>
  <c r="F24"/>
  <c r="F14"/>
  <c r="F18"/>
  <c r="F22"/>
  <c r="F26"/>
  <c r="F30"/>
  <c r="F34"/>
  <c r="F38"/>
  <c r="F42"/>
  <c r="E15"/>
  <c r="F15" s="1"/>
  <c r="E19"/>
  <c r="F19" s="1"/>
  <c r="E23"/>
  <c r="F23" s="1"/>
  <c r="E27"/>
  <c r="F27" s="1"/>
  <c r="E31"/>
  <c r="F31" s="1"/>
  <c r="E35"/>
  <c r="F35" s="1"/>
  <c r="E39"/>
  <c r="F39" s="1"/>
  <c r="E43"/>
  <c r="F43" s="1"/>
  <c r="E45" l="1"/>
  <c r="F24" i="98" s="1"/>
  <c r="F25" s="1"/>
  <c r="F45" i="152"/>
  <c r="J24" i="98" s="1"/>
  <c r="J25" s="1"/>
  <c r="H24" l="1"/>
  <c r="G24"/>
  <c r="D24"/>
  <c r="C24"/>
  <c r="O32" i="56"/>
  <c r="G32"/>
  <c r="I24" i="98" l="1"/>
  <c r="E24"/>
  <c r="G12" i="60"/>
  <c r="G13"/>
  <c r="G14"/>
  <c r="G15"/>
  <c r="G16"/>
  <c r="G17"/>
  <c r="G18"/>
  <c r="G19"/>
  <c r="G20"/>
  <c r="G21"/>
  <c r="G22"/>
  <c r="G23"/>
  <c r="G24"/>
  <c r="G25"/>
  <c r="G26"/>
  <c r="G27"/>
  <c r="G28"/>
  <c r="G29"/>
  <c r="G30"/>
  <c r="G31"/>
  <c r="G32"/>
  <c r="G33"/>
  <c r="G34"/>
  <c r="G35"/>
  <c r="G36"/>
  <c r="G37"/>
  <c r="G38"/>
  <c r="G39"/>
  <c r="G40"/>
  <c r="G41"/>
  <c r="G42"/>
  <c r="G43"/>
  <c r="G44"/>
  <c r="G11"/>
  <c r="D47" i="138" l="1"/>
  <c r="E11" i="141" l="1"/>
  <c r="E12"/>
  <c r="E13"/>
  <c r="E14"/>
  <c r="E15"/>
  <c r="E16"/>
  <c r="E17"/>
  <c r="E18"/>
  <c r="E19"/>
  <c r="E20"/>
  <c r="E21"/>
  <c r="E22"/>
  <c r="E23"/>
  <c r="E24"/>
  <c r="E25"/>
  <c r="E26"/>
  <c r="E27"/>
  <c r="E28"/>
  <c r="E29"/>
  <c r="E30"/>
  <c r="E31"/>
  <c r="E32"/>
  <c r="E33"/>
  <c r="E34"/>
  <c r="E35"/>
  <c r="E36"/>
  <c r="E37"/>
  <c r="E38"/>
  <c r="E39"/>
  <c r="E40"/>
  <c r="E41"/>
  <c r="E42"/>
  <c r="E43"/>
  <c r="E10"/>
  <c r="C44"/>
  <c r="D46" i="5" l="1"/>
  <c r="E46"/>
  <c r="F46"/>
  <c r="H46"/>
  <c r="I46"/>
  <c r="J46"/>
  <c r="K46"/>
  <c r="C46"/>
  <c r="D46" i="74"/>
  <c r="E50" s="1"/>
  <c r="E46"/>
  <c r="F46"/>
  <c r="I46"/>
  <c r="J46"/>
  <c r="K46"/>
  <c r="E50" i="139" l="1"/>
  <c r="F50"/>
  <c r="G50"/>
  <c r="H50"/>
  <c r="I50"/>
  <c r="J50"/>
  <c r="K50"/>
  <c r="L50"/>
  <c r="D23" l="1"/>
  <c r="D19" l="1"/>
  <c r="D50" s="1"/>
  <c r="J41" i="123" l="1"/>
  <c r="J40"/>
  <c r="J36"/>
  <c r="J32"/>
  <c r="J26"/>
  <c r="J22"/>
  <c r="J13"/>
  <c r="G13" i="111"/>
  <c r="G14"/>
  <c r="G15"/>
  <c r="G16"/>
  <c r="G17"/>
  <c r="G18"/>
  <c r="G19"/>
  <c r="G20"/>
  <c r="G21"/>
  <c r="G22"/>
  <c r="G23"/>
  <c r="G24"/>
  <c r="G25"/>
  <c r="G26"/>
  <c r="G27"/>
  <c r="G28"/>
  <c r="G29"/>
  <c r="G30"/>
  <c r="G31"/>
  <c r="G32"/>
  <c r="G33"/>
  <c r="G34"/>
  <c r="G35"/>
  <c r="G36"/>
  <c r="G37"/>
  <c r="G38"/>
  <c r="G39"/>
  <c r="G40"/>
  <c r="G41"/>
  <c r="G42"/>
  <c r="G43"/>
  <c r="G44"/>
  <c r="G45"/>
  <c r="G12"/>
  <c r="G13" i="4"/>
  <c r="G14"/>
  <c r="G15"/>
  <c r="G16"/>
  <c r="G17"/>
  <c r="G18"/>
  <c r="G19"/>
  <c r="G20"/>
  <c r="G21"/>
  <c r="G22"/>
  <c r="G23"/>
  <c r="G24"/>
  <c r="G25"/>
  <c r="G26"/>
  <c r="G27"/>
  <c r="G28"/>
  <c r="G29"/>
  <c r="G30"/>
  <c r="G31"/>
  <c r="G32"/>
  <c r="G33"/>
  <c r="G34"/>
  <c r="G35"/>
  <c r="G36"/>
  <c r="G37"/>
  <c r="G38"/>
  <c r="G39"/>
  <c r="G40"/>
  <c r="G41"/>
  <c r="G42"/>
  <c r="G43"/>
  <c r="G44"/>
  <c r="G45"/>
  <c r="G12"/>
  <c r="G48" i="56"/>
  <c r="D48"/>
  <c r="L29" i="1" l="1"/>
  <c r="AC22" i="98" l="1"/>
  <c r="AB22"/>
  <c r="M22" s="1"/>
  <c r="J22" s="1"/>
  <c r="G22" s="1"/>
  <c r="AA22"/>
  <c r="L22" s="1"/>
  <c r="I22" s="1"/>
  <c r="F22" s="1"/>
  <c r="H23"/>
  <c r="H25" s="1"/>
  <c r="G23"/>
  <c r="G25" s="1"/>
  <c r="D23"/>
  <c r="D25" s="1"/>
  <c r="C23"/>
  <c r="C25" s="1"/>
  <c r="N23"/>
  <c r="AD23" l="1"/>
  <c r="E23"/>
  <c r="E25" s="1"/>
  <c r="K23"/>
  <c r="L23"/>
  <c r="AA23"/>
  <c r="AB23"/>
  <c r="I23"/>
  <c r="I25" s="1"/>
  <c r="N24"/>
  <c r="D22"/>
  <c r="C22"/>
  <c r="N22"/>
  <c r="K22" s="1"/>
  <c r="H22" s="1"/>
  <c r="AD24" l="1"/>
  <c r="AD25" s="1"/>
  <c r="N25"/>
  <c r="K24"/>
  <c r="K25" s="1"/>
  <c r="L24"/>
  <c r="L25" s="1"/>
  <c r="E22"/>
  <c r="M23"/>
  <c r="AC23"/>
  <c r="AA24" l="1"/>
  <c r="AB24"/>
  <c r="AB25" s="1"/>
  <c r="M24"/>
  <c r="M25" s="1"/>
  <c r="T19"/>
  <c r="S19"/>
  <c r="T18"/>
  <c r="S18"/>
  <c r="T15"/>
  <c r="S15"/>
  <c r="H19"/>
  <c r="G19"/>
  <c r="H18"/>
  <c r="G18"/>
  <c r="H15"/>
  <c r="G15"/>
  <c r="T17"/>
  <c r="P17"/>
  <c r="G17"/>
  <c r="I18" l="1"/>
  <c r="AC24"/>
  <c r="AC25" s="1"/>
  <c r="AA25"/>
  <c r="C17"/>
  <c r="I19"/>
  <c r="U18"/>
  <c r="U15"/>
  <c r="U19"/>
  <c r="H17"/>
  <c r="I17" s="1"/>
  <c r="O17"/>
  <c r="Q17" s="1"/>
  <c r="S17"/>
  <c r="U17" s="1"/>
  <c r="D17"/>
  <c r="I15"/>
  <c r="F46" i="16"/>
  <c r="E25"/>
  <c r="J40" i="108"/>
  <c r="K40" s="1"/>
  <c r="H40"/>
  <c r="I40" s="1"/>
  <c r="J36"/>
  <c r="K36" s="1"/>
  <c r="H36"/>
  <c r="I36" s="1"/>
  <c r="J35"/>
  <c r="K35" s="1"/>
  <c r="H35"/>
  <c r="N35" s="1"/>
  <c r="O35" s="1"/>
  <c r="H30"/>
  <c r="N30" s="1"/>
  <c r="O30" s="1"/>
  <c r="J30"/>
  <c r="K30" s="1"/>
  <c r="J29"/>
  <c r="K29" s="1"/>
  <c r="H29"/>
  <c r="N29" s="1"/>
  <c r="O29" s="1"/>
  <c r="L10"/>
  <c r="L11"/>
  <c r="L9"/>
  <c r="J10"/>
  <c r="J11"/>
  <c r="J9"/>
  <c r="H10"/>
  <c r="N10" s="1"/>
  <c r="H11"/>
  <c r="N11" s="1"/>
  <c r="H9"/>
  <c r="N9" s="1"/>
  <c r="F45"/>
  <c r="G45"/>
  <c r="M45"/>
  <c r="E45"/>
  <c r="C43" i="105"/>
  <c r="D43"/>
  <c r="E43"/>
  <c r="F43"/>
  <c r="I43"/>
  <c r="J11"/>
  <c r="K11" s="1"/>
  <c r="G42"/>
  <c r="G43" s="1"/>
  <c r="J10"/>
  <c r="K10" s="1"/>
  <c r="J12"/>
  <c r="K12" s="1"/>
  <c r="J13"/>
  <c r="K13" s="1"/>
  <c r="J14"/>
  <c r="K14" s="1"/>
  <c r="J15"/>
  <c r="K15" s="1"/>
  <c r="J16"/>
  <c r="K16" s="1"/>
  <c r="K17"/>
  <c r="J18"/>
  <c r="K18" s="1"/>
  <c r="J19"/>
  <c r="K19" s="1"/>
  <c r="J20"/>
  <c r="K20" s="1"/>
  <c r="J21"/>
  <c r="K21" s="1"/>
  <c r="J22"/>
  <c r="K22" s="1"/>
  <c r="J23"/>
  <c r="K23" s="1"/>
  <c r="J24"/>
  <c r="K24" s="1"/>
  <c r="J25"/>
  <c r="K25" s="1"/>
  <c r="J26"/>
  <c r="K26" s="1"/>
  <c r="J27"/>
  <c r="K27" s="1"/>
  <c r="J28"/>
  <c r="K28" s="1"/>
  <c r="J29"/>
  <c r="K29" s="1"/>
  <c r="J30"/>
  <c r="K30" s="1"/>
  <c r="J31"/>
  <c r="K31" s="1"/>
  <c r="J32"/>
  <c r="K32" s="1"/>
  <c r="J33"/>
  <c r="K33" s="1"/>
  <c r="J34"/>
  <c r="K34" s="1"/>
  <c r="J35"/>
  <c r="K35" s="1"/>
  <c r="J36"/>
  <c r="K36" s="1"/>
  <c r="J37"/>
  <c r="K37" s="1"/>
  <c r="J38"/>
  <c r="K38" s="1"/>
  <c r="J39"/>
  <c r="K39" s="1"/>
  <c r="J40"/>
  <c r="K40" s="1"/>
  <c r="J41"/>
  <c r="K41" s="1"/>
  <c r="J42"/>
  <c r="K42" s="1"/>
  <c r="H9"/>
  <c r="H43" s="1"/>
  <c r="E17" i="98" l="1"/>
  <c r="L45" i="108"/>
  <c r="J45"/>
  <c r="J9" i="105"/>
  <c r="K9" s="1"/>
  <c r="K43" s="1"/>
  <c r="I35" i="108"/>
  <c r="N40"/>
  <c r="H45"/>
  <c r="N36"/>
  <c r="O36" s="1"/>
  <c r="I45"/>
  <c r="K45"/>
  <c r="C12" i="65"/>
  <c r="C13"/>
  <c r="C14"/>
  <c r="C15"/>
  <c r="C16"/>
  <c r="C17"/>
  <c r="C18"/>
  <c r="C19"/>
  <c r="C20"/>
  <c r="C21"/>
  <c r="C22"/>
  <c r="C23"/>
  <c r="C24"/>
  <c r="C25"/>
  <c r="C26"/>
  <c r="C27"/>
  <c r="C28"/>
  <c r="C29"/>
  <c r="C30"/>
  <c r="C31"/>
  <c r="C32"/>
  <c r="C33"/>
  <c r="C34"/>
  <c r="C35"/>
  <c r="C36"/>
  <c r="C37"/>
  <c r="C38"/>
  <c r="C39"/>
  <c r="C40"/>
  <c r="C41"/>
  <c r="C42"/>
  <c r="C43"/>
  <c r="C44"/>
  <c r="C11"/>
  <c r="J43" i="105" l="1"/>
  <c r="O40" i="108"/>
  <c r="O45" s="1"/>
  <c r="N45"/>
  <c r="O45" i="153" l="1"/>
  <c r="K45"/>
  <c r="G45"/>
  <c r="C45"/>
  <c r="S44"/>
  <c r="Q44"/>
  <c r="P44"/>
  <c r="M44"/>
  <c r="L44"/>
  <c r="I44"/>
  <c r="H44"/>
  <c r="E44"/>
  <c r="D44"/>
  <c r="S43"/>
  <c r="Q43"/>
  <c r="P43"/>
  <c r="M43"/>
  <c r="L43"/>
  <c r="I43"/>
  <c r="H43"/>
  <c r="E43"/>
  <c r="D43"/>
  <c r="S42"/>
  <c r="Q42"/>
  <c r="P42"/>
  <c r="M42"/>
  <c r="L42"/>
  <c r="I42"/>
  <c r="H42"/>
  <c r="E42"/>
  <c r="D42"/>
  <c r="S41"/>
  <c r="Q41"/>
  <c r="P41"/>
  <c r="M41"/>
  <c r="L41"/>
  <c r="I41"/>
  <c r="H41"/>
  <c r="E41"/>
  <c r="D41"/>
  <c r="S40"/>
  <c r="Q40"/>
  <c r="P40"/>
  <c r="M40"/>
  <c r="L40"/>
  <c r="I40"/>
  <c r="H40"/>
  <c r="E40"/>
  <c r="D40"/>
  <c r="S39"/>
  <c r="Q39"/>
  <c r="P39"/>
  <c r="M39"/>
  <c r="L39"/>
  <c r="I39"/>
  <c r="H39"/>
  <c r="E39"/>
  <c r="D39"/>
  <c r="S38"/>
  <c r="Q38"/>
  <c r="P38"/>
  <c r="M38"/>
  <c r="L38"/>
  <c r="I38"/>
  <c r="H38"/>
  <c r="E38"/>
  <c r="D38"/>
  <c r="S37"/>
  <c r="Q37"/>
  <c r="P37"/>
  <c r="M37"/>
  <c r="L37"/>
  <c r="I37"/>
  <c r="H37"/>
  <c r="E37"/>
  <c r="D37"/>
  <c r="S36"/>
  <c r="Q36"/>
  <c r="P36"/>
  <c r="M36"/>
  <c r="L36"/>
  <c r="I36"/>
  <c r="H36"/>
  <c r="E36"/>
  <c r="D36"/>
  <c r="S35"/>
  <c r="Q35"/>
  <c r="P35"/>
  <c r="M35"/>
  <c r="L35"/>
  <c r="I35"/>
  <c r="H35"/>
  <c r="E35"/>
  <c r="D35"/>
  <c r="S34"/>
  <c r="Q34"/>
  <c r="P34"/>
  <c r="M34"/>
  <c r="L34"/>
  <c r="I34"/>
  <c r="H34"/>
  <c r="E34"/>
  <c r="D34"/>
  <c r="S33"/>
  <c r="Q33"/>
  <c r="P33"/>
  <c r="M33"/>
  <c r="L33"/>
  <c r="I33"/>
  <c r="H33"/>
  <c r="E33"/>
  <c r="D33"/>
  <c r="S32"/>
  <c r="Q32"/>
  <c r="P32"/>
  <c r="M32"/>
  <c r="L32"/>
  <c r="I32"/>
  <c r="H32"/>
  <c r="E32"/>
  <c r="D32"/>
  <c r="S31"/>
  <c r="Q31"/>
  <c r="P31"/>
  <c r="M31"/>
  <c r="L31"/>
  <c r="I31"/>
  <c r="H31"/>
  <c r="E31"/>
  <c r="D31"/>
  <c r="S30"/>
  <c r="Q30"/>
  <c r="P30"/>
  <c r="M30"/>
  <c r="L30"/>
  <c r="I30"/>
  <c r="H30"/>
  <c r="E30"/>
  <c r="D30"/>
  <c r="S29"/>
  <c r="Q29"/>
  <c r="P29"/>
  <c r="M29"/>
  <c r="L29"/>
  <c r="I29"/>
  <c r="H29"/>
  <c r="E29"/>
  <c r="D29"/>
  <c r="S28"/>
  <c r="Q28"/>
  <c r="P28"/>
  <c r="M28"/>
  <c r="L28"/>
  <c r="I28"/>
  <c r="H28"/>
  <c r="E28"/>
  <c r="D28"/>
  <c r="S27"/>
  <c r="Q27"/>
  <c r="P27"/>
  <c r="M27"/>
  <c r="L27"/>
  <c r="I27"/>
  <c r="H27"/>
  <c r="E27"/>
  <c r="D27"/>
  <c r="S26"/>
  <c r="Q26"/>
  <c r="P26"/>
  <c r="M26"/>
  <c r="L26"/>
  <c r="I26"/>
  <c r="H26"/>
  <c r="E26"/>
  <c r="D26"/>
  <c r="S25"/>
  <c r="Q25"/>
  <c r="P25"/>
  <c r="M25"/>
  <c r="L25"/>
  <c r="I25"/>
  <c r="H25"/>
  <c r="E25"/>
  <c r="D25"/>
  <c r="S24"/>
  <c r="Q24"/>
  <c r="P24"/>
  <c r="M24"/>
  <c r="L24"/>
  <c r="I24"/>
  <c r="H24"/>
  <c r="E24"/>
  <c r="D24"/>
  <c r="S23"/>
  <c r="Q23"/>
  <c r="P23"/>
  <c r="M23"/>
  <c r="L23"/>
  <c r="I23"/>
  <c r="H23"/>
  <c r="E23"/>
  <c r="D23"/>
  <c r="S22"/>
  <c r="Q22"/>
  <c r="P22"/>
  <c r="M22"/>
  <c r="L22"/>
  <c r="I22"/>
  <c r="H22"/>
  <c r="E22"/>
  <c r="D22"/>
  <c r="S21"/>
  <c r="Q21"/>
  <c r="P21"/>
  <c r="M21"/>
  <c r="L21"/>
  <c r="I21"/>
  <c r="H21"/>
  <c r="E21"/>
  <c r="F21" s="1"/>
  <c r="S20"/>
  <c r="Q20"/>
  <c r="P20"/>
  <c r="M20"/>
  <c r="L20"/>
  <c r="I20"/>
  <c r="H20"/>
  <c r="E20"/>
  <c r="D20"/>
  <c r="S19"/>
  <c r="Q19"/>
  <c r="P19"/>
  <c r="M19"/>
  <c r="L19"/>
  <c r="I19"/>
  <c r="H19"/>
  <c r="E19"/>
  <c r="D19"/>
  <c r="S18"/>
  <c r="Q18"/>
  <c r="P18"/>
  <c r="M18"/>
  <c r="L18"/>
  <c r="I18"/>
  <c r="H18"/>
  <c r="E18"/>
  <c r="D18"/>
  <c r="S17"/>
  <c r="Q17"/>
  <c r="P17"/>
  <c r="M17"/>
  <c r="L17"/>
  <c r="I17"/>
  <c r="H17"/>
  <c r="E17"/>
  <c r="D17"/>
  <c r="S16"/>
  <c r="Q16"/>
  <c r="P16"/>
  <c r="M16"/>
  <c r="L16"/>
  <c r="I16"/>
  <c r="H16"/>
  <c r="E16"/>
  <c r="D16"/>
  <c r="S15"/>
  <c r="Q15"/>
  <c r="P15"/>
  <c r="M15"/>
  <c r="L15"/>
  <c r="I15"/>
  <c r="H15"/>
  <c r="E15"/>
  <c r="D15"/>
  <c r="S14"/>
  <c r="Q14"/>
  <c r="P14"/>
  <c r="M14"/>
  <c r="L14"/>
  <c r="I14"/>
  <c r="H14"/>
  <c r="E14"/>
  <c r="D14"/>
  <c r="S13"/>
  <c r="Q13"/>
  <c r="P13"/>
  <c r="M13"/>
  <c r="L13"/>
  <c r="I13"/>
  <c r="H13"/>
  <c r="E13"/>
  <c r="D13"/>
  <c r="S12"/>
  <c r="Q12"/>
  <c r="P12"/>
  <c r="M12"/>
  <c r="L12"/>
  <c r="I12"/>
  <c r="H12"/>
  <c r="E12"/>
  <c r="D12"/>
  <c r="J43" l="1"/>
  <c r="J12"/>
  <c r="T21"/>
  <c r="F23"/>
  <c r="T25"/>
  <c r="J29"/>
  <c r="F43"/>
  <c r="J20"/>
  <c r="F22"/>
  <c r="F26"/>
  <c r="N26"/>
  <c r="N30"/>
  <c r="N34"/>
  <c r="N38"/>
  <c r="T42"/>
  <c r="N42"/>
  <c r="J14"/>
  <c r="N16"/>
  <c r="J18"/>
  <c r="N20"/>
  <c r="F24"/>
  <c r="N24"/>
  <c r="N28"/>
  <c r="N32"/>
  <c r="N36"/>
  <c r="F40"/>
  <c r="J15"/>
  <c r="J19"/>
  <c r="R19"/>
  <c r="R43"/>
  <c r="J13"/>
  <c r="N14"/>
  <c r="J16"/>
  <c r="N22"/>
  <c r="J33"/>
  <c r="J37"/>
  <c r="N40"/>
  <c r="R24"/>
  <c r="R28"/>
  <c r="F30"/>
  <c r="R32"/>
  <c r="F34"/>
  <c r="R36"/>
  <c r="F38"/>
  <c r="R40"/>
  <c r="J41"/>
  <c r="M45"/>
  <c r="U41"/>
  <c r="P45"/>
  <c r="I45"/>
  <c r="J17"/>
  <c r="N18"/>
  <c r="R22"/>
  <c r="T23"/>
  <c r="F25"/>
  <c r="R26"/>
  <c r="J27"/>
  <c r="F28"/>
  <c r="R30"/>
  <c r="J31"/>
  <c r="F32"/>
  <c r="R34"/>
  <c r="J35"/>
  <c r="F36"/>
  <c r="R38"/>
  <c r="J39"/>
  <c r="R42"/>
  <c r="T44"/>
  <c r="U44"/>
  <c r="T13"/>
  <c r="T15"/>
  <c r="F16"/>
  <c r="T17"/>
  <c r="U18"/>
  <c r="U20"/>
  <c r="R21"/>
  <c r="R23"/>
  <c r="R25"/>
  <c r="T27"/>
  <c r="R27"/>
  <c r="T29"/>
  <c r="R29"/>
  <c r="T31"/>
  <c r="R31"/>
  <c r="T33"/>
  <c r="R33"/>
  <c r="T35"/>
  <c r="R35"/>
  <c r="T37"/>
  <c r="R37"/>
  <c r="T39"/>
  <c r="R39"/>
  <c r="T41"/>
  <c r="R41"/>
  <c r="N44"/>
  <c r="D45"/>
  <c r="F14"/>
  <c r="U12"/>
  <c r="L45"/>
  <c r="S45"/>
  <c r="S46" s="1"/>
  <c r="N21"/>
  <c r="T22"/>
  <c r="N23"/>
  <c r="T24"/>
  <c r="N25"/>
  <c r="J26"/>
  <c r="N27"/>
  <c r="J28"/>
  <c r="N29"/>
  <c r="J30"/>
  <c r="N31"/>
  <c r="J32"/>
  <c r="N33"/>
  <c r="J34"/>
  <c r="N35"/>
  <c r="J36"/>
  <c r="N37"/>
  <c r="J38"/>
  <c r="N39"/>
  <c r="J40"/>
  <c r="N41"/>
  <c r="F42"/>
  <c r="T43"/>
  <c r="U43"/>
  <c r="F44"/>
  <c r="H45"/>
  <c r="T12"/>
  <c r="U13"/>
  <c r="N13"/>
  <c r="R14"/>
  <c r="U15"/>
  <c r="N15"/>
  <c r="R16"/>
  <c r="U17"/>
  <c r="N17"/>
  <c r="R18"/>
  <c r="U19"/>
  <c r="N19"/>
  <c r="R20"/>
  <c r="T26"/>
  <c r="F27"/>
  <c r="T28"/>
  <c r="F29"/>
  <c r="T30"/>
  <c r="F31"/>
  <c r="T32"/>
  <c r="F33"/>
  <c r="T34"/>
  <c r="F35"/>
  <c r="T36"/>
  <c r="F37"/>
  <c r="T38"/>
  <c r="F39"/>
  <c r="T40"/>
  <c r="F41"/>
  <c r="J42"/>
  <c r="N43"/>
  <c r="J44"/>
  <c r="R44"/>
  <c r="T14"/>
  <c r="T16"/>
  <c r="T18"/>
  <c r="T19"/>
  <c r="T20"/>
  <c r="U21"/>
  <c r="U22"/>
  <c r="U23"/>
  <c r="U24"/>
  <c r="U25"/>
  <c r="V25" s="1"/>
  <c r="U26"/>
  <c r="U27"/>
  <c r="U28"/>
  <c r="U29"/>
  <c r="U32"/>
  <c r="U33"/>
  <c r="U34"/>
  <c r="V34" s="1"/>
  <c r="U36"/>
  <c r="U37"/>
  <c r="U38"/>
  <c r="U39"/>
  <c r="U40"/>
  <c r="U42"/>
  <c r="E45"/>
  <c r="F12"/>
  <c r="F13"/>
  <c r="U14"/>
  <c r="U16"/>
  <c r="R12"/>
  <c r="R13"/>
  <c r="R15"/>
  <c r="R17"/>
  <c r="U35"/>
  <c r="N12"/>
  <c r="J21"/>
  <c r="J22"/>
  <c r="J23"/>
  <c r="J24"/>
  <c r="J25"/>
  <c r="U30"/>
  <c r="U31"/>
  <c r="Q45"/>
  <c r="F15"/>
  <c r="F17"/>
  <c r="F18"/>
  <c r="F19"/>
  <c r="F20"/>
  <c r="E44" i="84"/>
  <c r="E43"/>
  <c r="E42"/>
  <c r="E41"/>
  <c r="E40"/>
  <c r="E39"/>
  <c r="E38"/>
  <c r="E37"/>
  <c r="E36"/>
  <c r="E35"/>
  <c r="E34"/>
  <c r="E33"/>
  <c r="E32"/>
  <c r="E31"/>
  <c r="E30"/>
  <c r="E29"/>
  <c r="E28"/>
  <c r="E27"/>
  <c r="E26"/>
  <c r="E25"/>
  <c r="E24"/>
  <c r="E23"/>
  <c r="E22"/>
  <c r="E21"/>
  <c r="E20"/>
  <c r="E19"/>
  <c r="E18"/>
  <c r="E17"/>
  <c r="E16"/>
  <c r="E15"/>
  <c r="E14"/>
  <c r="E13"/>
  <c r="E12"/>
  <c r="E11"/>
  <c r="V21" i="153" l="1"/>
  <c r="V42"/>
  <c r="V37"/>
  <c r="V26"/>
  <c r="V30"/>
  <c r="V39"/>
  <c r="V28"/>
  <c r="V20"/>
  <c r="V41"/>
  <c r="V38"/>
  <c r="V33"/>
  <c r="V27"/>
  <c r="V23"/>
  <c r="V44"/>
  <c r="V31"/>
  <c r="V35"/>
  <c r="V40"/>
  <c r="V36"/>
  <c r="V29"/>
  <c r="V24"/>
  <c r="T45"/>
  <c r="V43"/>
  <c r="V12"/>
  <c r="V13"/>
  <c r="V32"/>
  <c r="V19"/>
  <c r="V17"/>
  <c r="J45"/>
  <c r="N45"/>
  <c r="U45"/>
  <c r="V22"/>
  <c r="V18"/>
  <c r="V16"/>
  <c r="V15"/>
  <c r="R45"/>
  <c r="F45"/>
  <c r="V14"/>
  <c r="M132" i="119"/>
  <c r="L132"/>
  <c r="K132"/>
  <c r="J132"/>
  <c r="I132"/>
  <c r="H132"/>
  <c r="G132"/>
  <c r="M114"/>
  <c r="L114"/>
  <c r="K114"/>
  <c r="J114"/>
  <c r="I114"/>
  <c r="H114"/>
  <c r="G114"/>
  <c r="M109"/>
  <c r="L109"/>
  <c r="K109"/>
  <c r="J109"/>
  <c r="I109"/>
  <c r="H109"/>
  <c r="G109"/>
  <c r="M106"/>
  <c r="L106"/>
  <c r="K106"/>
  <c r="J106"/>
  <c r="I106"/>
  <c r="H106"/>
  <c r="G106"/>
  <c r="M91"/>
  <c r="K91"/>
  <c r="J91"/>
  <c r="I91"/>
  <c r="H91"/>
  <c r="G91"/>
  <c r="M78"/>
  <c r="L78"/>
  <c r="K78"/>
  <c r="J78"/>
  <c r="H78"/>
  <c r="G78"/>
  <c r="I78"/>
  <c r="M68"/>
  <c r="L68"/>
  <c r="K68"/>
  <c r="J68"/>
  <c r="I68"/>
  <c r="H68"/>
  <c r="G68"/>
  <c r="M64"/>
  <c r="L64"/>
  <c r="K64"/>
  <c r="J64"/>
  <c r="I64"/>
  <c r="H64"/>
  <c r="G64"/>
  <c r="M61"/>
  <c r="L61"/>
  <c r="K61"/>
  <c r="J61"/>
  <c r="I61"/>
  <c r="H61"/>
  <c r="G61"/>
  <c r="E61"/>
  <c r="D61"/>
  <c r="C61"/>
  <c r="M52"/>
  <c r="L52"/>
  <c r="K52"/>
  <c r="J52"/>
  <c r="I52"/>
  <c r="H52"/>
  <c r="G52"/>
  <c r="M49"/>
  <c r="L49"/>
  <c r="K49"/>
  <c r="J49"/>
  <c r="I49"/>
  <c r="H49"/>
  <c r="G49"/>
  <c r="M42"/>
  <c r="L42"/>
  <c r="K42"/>
  <c r="J42"/>
  <c r="I42"/>
  <c r="H42"/>
  <c r="G42"/>
  <c r="M28"/>
  <c r="L28"/>
  <c r="K28"/>
  <c r="J28"/>
  <c r="I28"/>
  <c r="H28"/>
  <c r="G28"/>
  <c r="M26"/>
  <c r="L26"/>
  <c r="K26"/>
  <c r="J26"/>
  <c r="I26"/>
  <c r="H26"/>
  <c r="G26"/>
  <c r="E26"/>
  <c r="D26"/>
  <c r="C26"/>
  <c r="M17"/>
  <c r="L17"/>
  <c r="K17"/>
  <c r="J17"/>
  <c r="I17"/>
  <c r="H17"/>
  <c r="G17"/>
  <c r="G133" l="1"/>
  <c r="L133"/>
  <c r="H133"/>
  <c r="M133"/>
  <c r="D133"/>
  <c r="I133"/>
  <c r="J133"/>
  <c r="K133"/>
  <c r="V45" i="153"/>
  <c r="E133" i="119"/>
  <c r="C133"/>
  <c r="H45" i="84"/>
  <c r="I45"/>
  <c r="C45"/>
  <c r="D45"/>
  <c r="E45"/>
  <c r="G45"/>
  <c r="D13" i="66"/>
  <c r="C13" s="1"/>
  <c r="E13"/>
  <c r="F13" s="1"/>
  <c r="D14"/>
  <c r="C14" s="1"/>
  <c r="E14"/>
  <c r="F14" s="1"/>
  <c r="D15"/>
  <c r="C15" s="1"/>
  <c r="E15"/>
  <c r="F15" s="1"/>
  <c r="D16"/>
  <c r="C16" s="1"/>
  <c r="E16"/>
  <c r="F16" s="1"/>
  <c r="D17"/>
  <c r="C17" s="1"/>
  <c r="E17"/>
  <c r="F17" s="1"/>
  <c r="D18"/>
  <c r="C18" s="1"/>
  <c r="E18"/>
  <c r="F18" s="1"/>
  <c r="D19"/>
  <c r="C19" s="1"/>
  <c r="E19"/>
  <c r="F19" s="1"/>
  <c r="D20"/>
  <c r="C20" s="1"/>
  <c r="E20"/>
  <c r="F20" s="1"/>
  <c r="D21"/>
  <c r="C21" s="1"/>
  <c r="E21"/>
  <c r="F21" s="1"/>
  <c r="D22"/>
  <c r="C22" s="1"/>
  <c r="E22"/>
  <c r="F22" s="1"/>
  <c r="D23"/>
  <c r="C23" s="1"/>
  <c r="E23"/>
  <c r="F23" s="1"/>
  <c r="D24"/>
  <c r="C24" s="1"/>
  <c r="E24"/>
  <c r="F24" s="1"/>
  <c r="D25"/>
  <c r="C25" s="1"/>
  <c r="E25"/>
  <c r="F25" s="1"/>
  <c r="D26"/>
  <c r="C26" s="1"/>
  <c r="E26"/>
  <c r="F26" s="1"/>
  <c r="D27"/>
  <c r="C27" s="1"/>
  <c r="E27"/>
  <c r="F27" s="1"/>
  <c r="D28"/>
  <c r="C28" s="1"/>
  <c r="E28"/>
  <c r="F28" s="1"/>
  <c r="D29"/>
  <c r="C29" s="1"/>
  <c r="E29"/>
  <c r="F29" s="1"/>
  <c r="D30"/>
  <c r="C30" s="1"/>
  <c r="E30"/>
  <c r="F30" s="1"/>
  <c r="D31"/>
  <c r="C31" s="1"/>
  <c r="E31"/>
  <c r="F31" s="1"/>
  <c r="D32"/>
  <c r="C32" s="1"/>
  <c r="E32"/>
  <c r="F32" s="1"/>
  <c r="D33"/>
  <c r="C33" s="1"/>
  <c r="E33"/>
  <c r="F33" s="1"/>
  <c r="D34"/>
  <c r="C34" s="1"/>
  <c r="E34"/>
  <c r="F34" s="1"/>
  <c r="D35"/>
  <c r="C35" s="1"/>
  <c r="E35"/>
  <c r="F35" s="1"/>
  <c r="D36"/>
  <c r="C36" s="1"/>
  <c r="E36"/>
  <c r="F36" s="1"/>
  <c r="D37"/>
  <c r="C37" s="1"/>
  <c r="E37"/>
  <c r="F37" s="1"/>
  <c r="D38"/>
  <c r="C38" s="1"/>
  <c r="E38"/>
  <c r="F38" s="1"/>
  <c r="D39"/>
  <c r="C39" s="1"/>
  <c r="E39"/>
  <c r="F39" s="1"/>
  <c r="D40"/>
  <c r="C40" s="1"/>
  <c r="E40"/>
  <c r="F40" s="1"/>
  <c r="D41"/>
  <c r="C41" s="1"/>
  <c r="E41"/>
  <c r="F41" s="1"/>
  <c r="D42"/>
  <c r="C42" s="1"/>
  <c r="E42"/>
  <c r="F42" s="1"/>
  <c r="D43"/>
  <c r="C43" s="1"/>
  <c r="E43"/>
  <c r="F43" s="1"/>
  <c r="D44"/>
  <c r="C44" s="1"/>
  <c r="E44"/>
  <c r="F44" s="1"/>
  <c r="D45"/>
  <c r="C45" s="1"/>
  <c r="E45"/>
  <c r="F45" s="1"/>
  <c r="E12"/>
  <c r="F12" s="1"/>
  <c r="D12"/>
  <c r="C12" s="1"/>
  <c r="J45" i="84" l="1"/>
  <c r="F45"/>
  <c r="D43" i="132"/>
  <c r="E43"/>
  <c r="F43"/>
  <c r="G43"/>
  <c r="H43"/>
  <c r="I43"/>
  <c r="K43"/>
  <c r="L43"/>
  <c r="C43"/>
  <c r="E43" i="135"/>
  <c r="F43"/>
  <c r="G43"/>
  <c r="D43"/>
  <c r="E44" i="103" l="1"/>
  <c r="F44"/>
  <c r="G44"/>
  <c r="H44"/>
  <c r="E43" i="142" l="1"/>
  <c r="H43" l="1"/>
  <c r="D43" i="123"/>
  <c r="E43"/>
  <c r="F43"/>
  <c r="G43"/>
  <c r="H43"/>
  <c r="I43"/>
  <c r="J43"/>
  <c r="C43"/>
  <c r="J38" i="132" l="1"/>
  <c r="J43" s="1"/>
  <c r="K46" i="16" l="1"/>
  <c r="I46"/>
  <c r="G46"/>
  <c r="E46"/>
  <c r="D46"/>
  <c r="J43"/>
  <c r="C42"/>
  <c r="C46" s="1"/>
  <c r="H41"/>
  <c r="J41" s="1"/>
  <c r="H38"/>
  <c r="J38" s="1"/>
  <c r="H37"/>
  <c r="J37" s="1"/>
  <c r="H36"/>
  <c r="J36" s="1"/>
  <c r="H35"/>
  <c r="J35" s="1"/>
  <c r="H34"/>
  <c r="J34" s="1"/>
  <c r="H32"/>
  <c r="J32" s="1"/>
  <c r="H31"/>
  <c r="J31" s="1"/>
  <c r="H30"/>
  <c r="J30" s="1"/>
  <c r="H29"/>
  <c r="J29" s="1"/>
  <c r="H28"/>
  <c r="J28" s="1"/>
  <c r="H27"/>
  <c r="J27" s="1"/>
  <c r="H24"/>
  <c r="J24" s="1"/>
  <c r="H23"/>
  <c r="J23" s="1"/>
  <c r="H22"/>
  <c r="J22" s="1"/>
  <c r="H21"/>
  <c r="J21" s="1"/>
  <c r="H19"/>
  <c r="J19" s="1"/>
  <c r="H17"/>
  <c r="J17" s="1"/>
  <c r="H16"/>
  <c r="J16" s="1"/>
  <c r="H15"/>
  <c r="J15" s="1"/>
  <c r="H14"/>
  <c r="J14" s="1"/>
  <c r="H13"/>
  <c r="J13" s="1"/>
  <c r="H12"/>
  <c r="J12" s="1"/>
  <c r="J46" l="1"/>
  <c r="H46"/>
  <c r="E14" i="138"/>
  <c r="C10" i="142" s="1"/>
  <c r="C11" i="103" s="1"/>
  <c r="E15" i="138"/>
  <c r="C11" i="142" s="1"/>
  <c r="C12" i="103" s="1"/>
  <c r="E16" i="138"/>
  <c r="C12" i="142" s="1"/>
  <c r="C13" i="103" s="1"/>
  <c r="E17" i="138"/>
  <c r="C13" i="142" s="1"/>
  <c r="C14" i="103" s="1"/>
  <c r="E18" i="138"/>
  <c r="C14" i="142" s="1"/>
  <c r="C15" i="103" s="1"/>
  <c r="E19" i="138"/>
  <c r="C15" i="142" s="1"/>
  <c r="C16" i="103" s="1"/>
  <c r="E20" i="138"/>
  <c r="C16" i="142" s="1"/>
  <c r="C17" i="103" s="1"/>
  <c r="E21" i="138"/>
  <c r="C17" i="142" s="1"/>
  <c r="C18" i="103" s="1"/>
  <c r="E22" i="138"/>
  <c r="C18" i="142" s="1"/>
  <c r="C19" i="103" s="1"/>
  <c r="E23" i="138"/>
  <c r="C19" i="142" s="1"/>
  <c r="C20" i="103" s="1"/>
  <c r="E24" i="138"/>
  <c r="C20" i="142" s="1"/>
  <c r="C21" i="103" s="1"/>
  <c r="E25" i="138"/>
  <c r="C21" i="142" s="1"/>
  <c r="C22" i="103" s="1"/>
  <c r="E26" i="138"/>
  <c r="C22" i="142" s="1"/>
  <c r="C23" i="103" s="1"/>
  <c r="E27" i="138"/>
  <c r="C23" i="142" s="1"/>
  <c r="C24" i="103" s="1"/>
  <c r="E28" i="138"/>
  <c r="C24" i="142" s="1"/>
  <c r="C25" i="103" s="1"/>
  <c r="E29" i="138"/>
  <c r="C25" i="142" s="1"/>
  <c r="C26" i="103" s="1"/>
  <c r="E30" i="138"/>
  <c r="C26" i="142" s="1"/>
  <c r="C27" i="103" s="1"/>
  <c r="E31" i="138"/>
  <c r="C27" i="142" s="1"/>
  <c r="C28" i="103" s="1"/>
  <c r="E32" i="138"/>
  <c r="C28" i="142" s="1"/>
  <c r="C29" i="103" s="1"/>
  <c r="E33" i="138"/>
  <c r="C29" i="142" s="1"/>
  <c r="C30" i="103" s="1"/>
  <c r="E34" i="138"/>
  <c r="C30" i="142" s="1"/>
  <c r="C31" i="103" s="1"/>
  <c r="E35" i="138"/>
  <c r="C31" i="142" s="1"/>
  <c r="C32" i="103" s="1"/>
  <c r="E36" i="138"/>
  <c r="C32" i="142" s="1"/>
  <c r="C33" i="103" s="1"/>
  <c r="E37" i="138"/>
  <c r="C33" i="142" s="1"/>
  <c r="C34" i="103" s="1"/>
  <c r="E38" i="138"/>
  <c r="C34" i="142" s="1"/>
  <c r="C35" i="103" s="1"/>
  <c r="E39" i="138"/>
  <c r="C35" i="142" s="1"/>
  <c r="C36" i="103" s="1"/>
  <c r="E40" i="138"/>
  <c r="C36" i="142" s="1"/>
  <c r="C37" i="103" s="1"/>
  <c r="E41" i="138"/>
  <c r="C37" i="142" s="1"/>
  <c r="C38" i="103" s="1"/>
  <c r="E42" i="138"/>
  <c r="C38" i="142" s="1"/>
  <c r="C39" i="103" s="1"/>
  <c r="E43" i="138"/>
  <c r="C39" i="142" s="1"/>
  <c r="C40" i="103" s="1"/>
  <c r="E44" i="138"/>
  <c r="C40" i="142" s="1"/>
  <c r="C41" i="103" s="1"/>
  <c r="E45" i="138"/>
  <c r="C41" i="142" s="1"/>
  <c r="C42" i="103" s="1"/>
  <c r="E46" i="138"/>
  <c r="C42" i="142" s="1"/>
  <c r="C43" i="103" s="1"/>
  <c r="E13" i="138"/>
  <c r="C9" i="142" s="1"/>
  <c r="H13" i="127"/>
  <c r="H14"/>
  <c r="H15"/>
  <c r="H16"/>
  <c r="H17"/>
  <c r="H18"/>
  <c r="H19"/>
  <c r="H20"/>
  <c r="H21"/>
  <c r="H22"/>
  <c r="H23"/>
  <c r="H24"/>
  <c r="H25"/>
  <c r="H26"/>
  <c r="H27"/>
  <c r="H28"/>
  <c r="H29"/>
  <c r="H30"/>
  <c r="H31"/>
  <c r="H32"/>
  <c r="H33"/>
  <c r="H34"/>
  <c r="H35"/>
  <c r="H36"/>
  <c r="H37"/>
  <c r="H38"/>
  <c r="H39"/>
  <c r="H40"/>
  <c r="H41"/>
  <c r="J41" s="1"/>
  <c r="H42"/>
  <c r="H43"/>
  <c r="H44"/>
  <c r="H45"/>
  <c r="H12"/>
  <c r="H13" i="111"/>
  <c r="H14"/>
  <c r="H15"/>
  <c r="H16"/>
  <c r="H17"/>
  <c r="H18"/>
  <c r="H19"/>
  <c r="H20"/>
  <c r="H21"/>
  <c r="H22"/>
  <c r="H23"/>
  <c r="H24"/>
  <c r="H25"/>
  <c r="H26"/>
  <c r="H27"/>
  <c r="H28"/>
  <c r="H29"/>
  <c r="H30"/>
  <c r="H31"/>
  <c r="H32"/>
  <c r="H33"/>
  <c r="H34"/>
  <c r="H35"/>
  <c r="H36"/>
  <c r="H37"/>
  <c r="H38"/>
  <c r="H39"/>
  <c r="H40"/>
  <c r="H41"/>
  <c r="H42"/>
  <c r="H43"/>
  <c r="H44"/>
  <c r="H45"/>
  <c r="H12"/>
  <c r="C43" i="142" l="1"/>
  <c r="C10" i="103"/>
  <c r="C39" i="124"/>
  <c r="D40" i="103"/>
  <c r="C35" i="124"/>
  <c r="D36" i="103"/>
  <c r="C31" i="124"/>
  <c r="D32" i="103"/>
  <c r="C27" i="124"/>
  <c r="D28" i="103"/>
  <c r="C23" i="124"/>
  <c r="D24" i="103"/>
  <c r="C19" i="124"/>
  <c r="D20" i="103"/>
  <c r="C15" i="124"/>
  <c r="D16" i="103"/>
  <c r="C11" i="124"/>
  <c r="D12" i="103"/>
  <c r="C42" i="124"/>
  <c r="D43" i="103"/>
  <c r="C38" i="124"/>
  <c r="D39" i="103"/>
  <c r="C34" i="124"/>
  <c r="D35" i="103"/>
  <c r="C30" i="124"/>
  <c r="D31" i="103"/>
  <c r="C26" i="124"/>
  <c r="D27" i="103"/>
  <c r="C22" i="124"/>
  <c r="D23" i="103"/>
  <c r="C18" i="124"/>
  <c r="D19" i="103"/>
  <c r="C14" i="124"/>
  <c r="D15" i="103"/>
  <c r="C10" i="124"/>
  <c r="D11" i="103"/>
  <c r="D42"/>
  <c r="C41" i="124"/>
  <c r="D38" i="103"/>
  <c r="C37" i="124"/>
  <c r="D34" i="103"/>
  <c r="C33" i="124"/>
  <c r="D30" i="103"/>
  <c r="C29" i="124"/>
  <c r="D26" i="103"/>
  <c r="C25" i="124"/>
  <c r="D22" i="103"/>
  <c r="C21" i="124"/>
  <c r="D18" i="103"/>
  <c r="C17" i="124"/>
  <c r="D14" i="103"/>
  <c r="C13" i="124"/>
  <c r="D41" i="103"/>
  <c r="C40" i="124"/>
  <c r="D37" i="103"/>
  <c r="C36" i="124"/>
  <c r="D33" i="103"/>
  <c r="C32" i="124"/>
  <c r="D29" i="103"/>
  <c r="C28" i="124"/>
  <c r="D25" i="103"/>
  <c r="C24" i="124"/>
  <c r="D21" i="103"/>
  <c r="C20" i="124"/>
  <c r="D17" i="103"/>
  <c r="C16" i="124"/>
  <c r="D13" i="103"/>
  <c r="C12" i="124"/>
  <c r="D47" i="86"/>
  <c r="E47"/>
  <c r="H47"/>
  <c r="I47"/>
  <c r="F63"/>
  <c r="G63" s="1"/>
  <c r="C44" i="103" l="1"/>
  <c r="C9" i="124"/>
  <c r="D10" i="103"/>
  <c r="D44" s="1"/>
  <c r="M46" i="74"/>
  <c r="L44" i="59" l="1"/>
  <c r="G44"/>
  <c r="L43"/>
  <c r="G43"/>
  <c r="L42"/>
  <c r="G42"/>
  <c r="L41"/>
  <c r="G41"/>
  <c r="L40"/>
  <c r="G40"/>
  <c r="L39"/>
  <c r="G39"/>
  <c r="L38"/>
  <c r="G38"/>
  <c r="L37"/>
  <c r="G37"/>
  <c r="L36"/>
  <c r="G36"/>
  <c r="L35"/>
  <c r="G35"/>
  <c r="L34"/>
  <c r="G34"/>
  <c r="L33"/>
  <c r="G33"/>
  <c r="L32"/>
  <c r="G32"/>
  <c r="L31"/>
  <c r="G31"/>
  <c r="L30"/>
  <c r="G30"/>
  <c r="L29"/>
  <c r="G29"/>
  <c r="L28"/>
  <c r="G28"/>
  <c r="L27"/>
  <c r="G27"/>
  <c r="L26"/>
  <c r="G26"/>
  <c r="L25"/>
  <c r="G25"/>
  <c r="L24"/>
  <c r="G24"/>
  <c r="L23"/>
  <c r="G23"/>
  <c r="L22"/>
  <c r="G22"/>
  <c r="L21"/>
  <c r="G21"/>
  <c r="L20"/>
  <c r="G20"/>
  <c r="L19"/>
  <c r="G19"/>
  <c r="L18"/>
  <c r="G18"/>
  <c r="L17"/>
  <c r="G17"/>
  <c r="L16"/>
  <c r="G16"/>
  <c r="L15"/>
  <c r="G15"/>
  <c r="L14"/>
  <c r="G14"/>
  <c r="L13"/>
  <c r="G13"/>
  <c r="L12"/>
  <c r="G12"/>
  <c r="L11"/>
  <c r="G11"/>
  <c r="L44" i="58"/>
  <c r="G44"/>
  <c r="L43"/>
  <c r="G43"/>
  <c r="L42"/>
  <c r="G42"/>
  <c r="L41"/>
  <c r="G41"/>
  <c r="L40"/>
  <c r="G40"/>
  <c r="L39"/>
  <c r="G39"/>
  <c r="L38"/>
  <c r="G38"/>
  <c r="L37"/>
  <c r="G37"/>
  <c r="L36"/>
  <c r="G36"/>
  <c r="L35"/>
  <c r="G35"/>
  <c r="L34"/>
  <c r="G34"/>
  <c r="L33"/>
  <c r="G33"/>
  <c r="L32"/>
  <c r="G32"/>
  <c r="L31"/>
  <c r="G31"/>
  <c r="L30"/>
  <c r="G30"/>
  <c r="L29"/>
  <c r="G29"/>
  <c r="L28"/>
  <c r="G28"/>
  <c r="L27"/>
  <c r="G27"/>
  <c r="L26"/>
  <c r="G26"/>
  <c r="L25"/>
  <c r="G25"/>
  <c r="L24"/>
  <c r="G24"/>
  <c r="L23"/>
  <c r="G23"/>
  <c r="L22"/>
  <c r="G22"/>
  <c r="L21"/>
  <c r="G21"/>
  <c r="L20"/>
  <c r="G20"/>
  <c r="L19"/>
  <c r="G19"/>
  <c r="L18"/>
  <c r="G18"/>
  <c r="L17"/>
  <c r="G17"/>
  <c r="L16"/>
  <c r="G16"/>
  <c r="L15"/>
  <c r="G15"/>
  <c r="L14"/>
  <c r="G14"/>
  <c r="L13"/>
  <c r="G13"/>
  <c r="L12"/>
  <c r="G12"/>
  <c r="L11"/>
  <c r="G11"/>
  <c r="M45" i="1"/>
  <c r="M44"/>
  <c r="M43"/>
  <c r="M42"/>
  <c r="M41"/>
  <c r="M40"/>
  <c r="M39"/>
  <c r="M38"/>
  <c r="M37"/>
  <c r="M36"/>
  <c r="M35"/>
  <c r="M34"/>
  <c r="M33"/>
  <c r="M32"/>
  <c r="M31"/>
  <c r="M30"/>
  <c r="M29"/>
  <c r="M28"/>
  <c r="M27"/>
  <c r="M26"/>
  <c r="M25"/>
  <c r="M24"/>
  <c r="M23"/>
  <c r="M22"/>
  <c r="M21"/>
  <c r="M20"/>
  <c r="M19"/>
  <c r="M18"/>
  <c r="M17"/>
  <c r="M16"/>
  <c r="M15"/>
  <c r="M14"/>
  <c r="M13"/>
  <c r="M12"/>
  <c r="G44" i="47"/>
  <c r="G43"/>
  <c r="G42"/>
  <c r="G41"/>
  <c r="G40"/>
  <c r="G39"/>
  <c r="G38"/>
  <c r="G37"/>
  <c r="G36"/>
  <c r="G35"/>
  <c r="G34"/>
  <c r="G33"/>
  <c r="G32"/>
  <c r="G31"/>
  <c r="G30"/>
  <c r="G29"/>
  <c r="G28"/>
  <c r="G27"/>
  <c r="G26"/>
  <c r="G25"/>
  <c r="G24"/>
  <c r="G23"/>
  <c r="G22"/>
  <c r="G21"/>
  <c r="G20"/>
  <c r="G19"/>
  <c r="G18"/>
  <c r="G17"/>
  <c r="G16"/>
  <c r="G15"/>
  <c r="G14"/>
  <c r="G13"/>
  <c r="G12"/>
  <c r="G11"/>
  <c r="M27" i="59" l="1"/>
  <c r="M12"/>
  <c r="M28"/>
  <c r="M40"/>
  <c r="M44"/>
  <c r="M43"/>
  <c r="M14" i="58"/>
  <c r="M22"/>
  <c r="M26"/>
  <c r="M38"/>
  <c r="M11"/>
  <c r="M13"/>
  <c r="M15"/>
  <c r="M19"/>
  <c r="M21"/>
  <c r="M23"/>
  <c r="M25"/>
  <c r="M27"/>
  <c r="M31"/>
  <c r="M35"/>
  <c r="M37"/>
  <c r="M39"/>
  <c r="M41"/>
  <c r="M43"/>
  <c r="M11" i="59"/>
  <c r="M15"/>
  <c r="M17"/>
  <c r="M19"/>
  <c r="M21"/>
  <c r="M23"/>
  <c r="M24"/>
  <c r="M42" i="58"/>
  <c r="M18" i="59"/>
  <c r="M32" i="58"/>
  <c r="M44"/>
  <c r="M31" i="59"/>
  <c r="M33"/>
  <c r="M35"/>
  <c r="M37"/>
  <c r="M39"/>
  <c r="M22"/>
  <c r="M16" i="58"/>
  <c r="M28"/>
  <c r="M34" i="59"/>
  <c r="M38"/>
  <c r="M17" i="58"/>
  <c r="M24"/>
  <c r="M33"/>
  <c r="M40"/>
  <c r="M13" i="59"/>
  <c r="M20"/>
  <c r="M29"/>
  <c r="M36"/>
  <c r="M12" i="58"/>
  <c r="M30"/>
  <c r="M26" i="59"/>
  <c r="M42"/>
  <c r="M18" i="58"/>
  <c r="M20"/>
  <c r="M29"/>
  <c r="M34"/>
  <c r="M36"/>
  <c r="M14" i="59"/>
  <c r="M16"/>
  <c r="M25"/>
  <c r="M30"/>
  <c r="M32"/>
  <c r="M41"/>
  <c r="E44" i="141"/>
  <c r="G44"/>
  <c r="D44"/>
  <c r="C45" i="60"/>
  <c r="D45"/>
  <c r="E45"/>
  <c r="F45"/>
  <c r="C45" i="59"/>
  <c r="D45"/>
  <c r="E45"/>
  <c r="F45"/>
  <c r="C45" i="58"/>
  <c r="D45"/>
  <c r="E45"/>
  <c r="F45"/>
  <c r="L46" i="1"/>
  <c r="K46"/>
  <c r="I46"/>
  <c r="H46"/>
  <c r="C46"/>
  <c r="D46"/>
  <c r="F46"/>
  <c r="G46"/>
  <c r="G45" i="60" l="1"/>
  <c r="G45" i="59"/>
  <c r="G45" i="58"/>
  <c r="F44" i="141"/>
  <c r="H18" i="99" l="1"/>
  <c r="G18"/>
  <c r="H17"/>
  <c r="G17"/>
  <c r="H16"/>
  <c r="G16"/>
  <c r="H15"/>
  <c r="G15"/>
  <c r="L20" i="96"/>
  <c r="K20"/>
  <c r="L19"/>
  <c r="K19"/>
  <c r="L18"/>
  <c r="K18"/>
  <c r="L16"/>
  <c r="K16"/>
  <c r="R17"/>
  <c r="O17" s="1"/>
  <c r="R18"/>
  <c r="P18" s="1"/>
  <c r="R19"/>
  <c r="O19" s="1"/>
  <c r="R20"/>
  <c r="P20" s="1"/>
  <c r="R16"/>
  <c r="P16" s="1"/>
  <c r="V18"/>
  <c r="V20" l="1"/>
  <c r="M20"/>
  <c r="I18" i="99"/>
  <c r="M16" i="96"/>
  <c r="M19"/>
  <c r="I15" i="99"/>
  <c r="V19" i="96"/>
  <c r="M18"/>
  <c r="P17"/>
  <c r="Q17" s="1"/>
  <c r="P19"/>
  <c r="Q19" s="1"/>
  <c r="I17" i="99"/>
  <c r="O16" i="96"/>
  <c r="Q16" s="1"/>
  <c r="O18"/>
  <c r="Q18" s="1"/>
  <c r="V16"/>
  <c r="V17"/>
  <c r="O20"/>
  <c r="Q20" s="1"/>
  <c r="I16" i="99"/>
  <c r="P15" l="1"/>
  <c r="C45" i="152"/>
  <c r="J28" i="147" l="1"/>
  <c r="J12"/>
  <c r="J13"/>
  <c r="J14"/>
  <c r="J15"/>
  <c r="J16"/>
  <c r="J17"/>
  <c r="J20"/>
  <c r="J21"/>
  <c r="J22"/>
  <c r="J23"/>
  <c r="J24"/>
  <c r="J25"/>
  <c r="J26"/>
  <c r="J27"/>
  <c r="D43" i="124"/>
  <c r="E43"/>
  <c r="F43"/>
  <c r="J43"/>
  <c r="K43"/>
  <c r="L43"/>
  <c r="M43"/>
  <c r="N43"/>
  <c r="O43"/>
  <c r="C43"/>
  <c r="E46" i="93"/>
  <c r="F46"/>
  <c r="K46"/>
  <c r="L46"/>
  <c r="G46" l="1"/>
  <c r="H46"/>
  <c r="I46"/>
  <c r="J46"/>
  <c r="C46"/>
  <c r="D46"/>
  <c r="C43" i="155"/>
  <c r="D43"/>
  <c r="E43"/>
  <c r="D46" i="121"/>
  <c r="H17"/>
  <c r="G17"/>
  <c r="F17"/>
  <c r="E17"/>
  <c r="E47" i="138"/>
  <c r="C47"/>
  <c r="H17" i="14"/>
  <c r="H12"/>
  <c r="E25"/>
  <c r="C25"/>
  <c r="E16"/>
  <c r="G13" i="112" l="1"/>
  <c r="G14"/>
  <c r="G15"/>
  <c r="G17"/>
  <c r="G20"/>
  <c r="G22"/>
  <c r="G26"/>
  <c r="G27"/>
  <c r="G31"/>
  <c r="G34"/>
  <c r="G35"/>
  <c r="G38"/>
  <c r="G39"/>
  <c r="G40"/>
  <c r="G41"/>
  <c r="G42"/>
  <c r="G43"/>
  <c r="G44"/>
  <c r="G45"/>
  <c r="G12"/>
  <c r="C37"/>
  <c r="G37" s="1"/>
  <c r="C36"/>
  <c r="G36" s="1"/>
  <c r="C33"/>
  <c r="G33" s="1"/>
  <c r="C32"/>
  <c r="C30"/>
  <c r="C29"/>
  <c r="G29" s="1"/>
  <c r="C28"/>
  <c r="G28" s="1"/>
  <c r="C25"/>
  <c r="G25" s="1"/>
  <c r="C24"/>
  <c r="G24" s="1"/>
  <c r="C23"/>
  <c r="G23" s="1"/>
  <c r="C21"/>
  <c r="G21" s="1"/>
  <c r="C19"/>
  <c r="G19" s="1"/>
  <c r="C18"/>
  <c r="G18" s="1"/>
  <c r="C16"/>
  <c r="G16" s="1"/>
  <c r="G13" i="113"/>
  <c r="G14"/>
  <c r="G15"/>
  <c r="G17"/>
  <c r="G18"/>
  <c r="G19"/>
  <c r="G20"/>
  <c r="G21"/>
  <c r="G22"/>
  <c r="G23"/>
  <c r="G24"/>
  <c r="G25"/>
  <c r="G26"/>
  <c r="G27"/>
  <c r="G28"/>
  <c r="G31"/>
  <c r="G33"/>
  <c r="G34"/>
  <c r="G35"/>
  <c r="G36"/>
  <c r="G37"/>
  <c r="G38"/>
  <c r="G39"/>
  <c r="G40"/>
  <c r="G41"/>
  <c r="G42"/>
  <c r="G43"/>
  <c r="G44"/>
  <c r="G45"/>
  <c r="G12"/>
  <c r="C29"/>
  <c r="C16"/>
  <c r="G16" s="1"/>
  <c r="C46" l="1"/>
  <c r="G46" i="112"/>
  <c r="G29" i="113"/>
  <c r="C46" i="112"/>
  <c r="K14" i="157"/>
  <c r="K15"/>
  <c r="K16"/>
  <c r="K17"/>
  <c r="K18"/>
  <c r="K19"/>
  <c r="K20"/>
  <c r="K21"/>
  <c r="K13"/>
  <c r="I22"/>
  <c r="H22"/>
  <c r="G22"/>
  <c r="J22"/>
  <c r="K22" l="1"/>
  <c r="E22" l="1"/>
  <c r="D22"/>
  <c r="C22"/>
  <c r="F22"/>
  <c r="D7"/>
  <c r="D8" s="1"/>
  <c r="L41" i="62"/>
  <c r="M41"/>
  <c r="N12"/>
  <c r="N13"/>
  <c r="N14"/>
  <c r="N15"/>
  <c r="N16"/>
  <c r="N17"/>
  <c r="N18"/>
  <c r="N19"/>
  <c r="N20"/>
  <c r="N21"/>
  <c r="N22"/>
  <c r="N23"/>
  <c r="N24"/>
  <c r="N25"/>
  <c r="N26"/>
  <c r="N27"/>
  <c r="N28"/>
  <c r="N29"/>
  <c r="N30"/>
  <c r="N31"/>
  <c r="N32"/>
  <c r="N33"/>
  <c r="N34"/>
  <c r="N35"/>
  <c r="N36"/>
  <c r="N37"/>
  <c r="N38"/>
  <c r="N39"/>
  <c r="N40"/>
  <c r="N11"/>
  <c r="K41"/>
  <c r="C41"/>
  <c r="D41"/>
  <c r="E41"/>
  <c r="F12"/>
  <c r="F13"/>
  <c r="F14"/>
  <c r="F15"/>
  <c r="F16"/>
  <c r="F17"/>
  <c r="F18"/>
  <c r="F19"/>
  <c r="F20"/>
  <c r="F21"/>
  <c r="F22"/>
  <c r="F23"/>
  <c r="F24"/>
  <c r="F25"/>
  <c r="F26"/>
  <c r="F27"/>
  <c r="F28"/>
  <c r="F29"/>
  <c r="F30"/>
  <c r="F31"/>
  <c r="F32"/>
  <c r="F33"/>
  <c r="F34"/>
  <c r="F35"/>
  <c r="F36"/>
  <c r="F37"/>
  <c r="F38"/>
  <c r="F39"/>
  <c r="F40"/>
  <c r="F11"/>
  <c r="G41"/>
  <c r="H41"/>
  <c r="I41"/>
  <c r="J41"/>
  <c r="F46" i="66"/>
  <c r="C46"/>
  <c r="D46"/>
  <c r="F41" i="62" l="1"/>
  <c r="E46" i="66"/>
  <c r="N41" i="62"/>
  <c r="H23" i="115"/>
  <c r="H19"/>
  <c r="J19" s="1"/>
  <c r="J26" s="1"/>
  <c r="I26"/>
  <c r="G26"/>
  <c r="F13"/>
  <c r="F14"/>
  <c r="F15"/>
  <c r="F16"/>
  <c r="F17"/>
  <c r="F12"/>
  <c r="E26"/>
  <c r="C26"/>
  <c r="D26"/>
  <c r="F26" l="1"/>
  <c r="H26"/>
  <c r="W17" i="98"/>
  <c r="X17"/>
  <c r="Y17"/>
  <c r="K17"/>
  <c r="L17"/>
  <c r="M17"/>
  <c r="AA17" l="1"/>
  <c r="Z17"/>
  <c r="AD17" s="1"/>
  <c r="AB17"/>
  <c r="AC17"/>
  <c r="L45" i="65"/>
  <c r="K29" i="147" l="1"/>
  <c r="L29"/>
  <c r="M29"/>
  <c r="N29"/>
  <c r="I12"/>
  <c r="I13"/>
  <c r="I14"/>
  <c r="I15"/>
  <c r="I16"/>
  <c r="I17"/>
  <c r="I20"/>
  <c r="I21"/>
  <c r="I22"/>
  <c r="I24"/>
  <c r="I25"/>
  <c r="I26"/>
  <c r="I27"/>
  <c r="I28"/>
  <c r="I23"/>
  <c r="H29"/>
  <c r="P12"/>
  <c r="P13"/>
  <c r="P14"/>
  <c r="P15"/>
  <c r="P16"/>
  <c r="P17"/>
  <c r="P20"/>
  <c r="P21"/>
  <c r="P22"/>
  <c r="P23"/>
  <c r="P24"/>
  <c r="P25"/>
  <c r="P26"/>
  <c r="P27"/>
  <c r="P28"/>
  <c r="K29" i="146"/>
  <c r="L29"/>
  <c r="M29"/>
  <c r="N29"/>
  <c r="J12"/>
  <c r="I12" s="1"/>
  <c r="J13"/>
  <c r="I13" s="1"/>
  <c r="J14"/>
  <c r="I14" s="1"/>
  <c r="J15"/>
  <c r="I15" s="1"/>
  <c r="J16"/>
  <c r="I16" s="1"/>
  <c r="J17"/>
  <c r="I17" s="1"/>
  <c r="J19"/>
  <c r="I19" s="1"/>
  <c r="J20"/>
  <c r="I20" s="1"/>
  <c r="J21"/>
  <c r="I21" s="1"/>
  <c r="J22"/>
  <c r="I22" s="1"/>
  <c r="J23"/>
  <c r="I23" s="1"/>
  <c r="J24"/>
  <c r="I24" s="1"/>
  <c r="J25"/>
  <c r="I25" s="1"/>
  <c r="J26"/>
  <c r="I26" s="1"/>
  <c r="J27"/>
  <c r="I27" s="1"/>
  <c r="J28"/>
  <c r="I28" s="1"/>
  <c r="H29"/>
  <c r="P13"/>
  <c r="P14"/>
  <c r="P15"/>
  <c r="P16"/>
  <c r="P17"/>
  <c r="P19"/>
  <c r="P20"/>
  <c r="P21"/>
  <c r="P22"/>
  <c r="P24"/>
  <c r="P25"/>
  <c r="P26"/>
  <c r="P27"/>
  <c r="P28"/>
  <c r="P12"/>
  <c r="C29"/>
  <c r="F29" i="147" l="1"/>
  <c r="G29"/>
  <c r="F29" i="146"/>
  <c r="G29"/>
  <c r="J29" i="147"/>
  <c r="I29"/>
  <c r="P23" i="146"/>
  <c r="J29"/>
  <c r="D46" i="149"/>
  <c r="E46"/>
  <c r="F46"/>
  <c r="G46"/>
  <c r="H46"/>
  <c r="I46"/>
  <c r="J46"/>
  <c r="K46"/>
  <c r="L46"/>
  <c r="C46"/>
  <c r="E46" i="148"/>
  <c r="F46"/>
  <c r="G46"/>
  <c r="H46"/>
  <c r="I46"/>
  <c r="J46"/>
  <c r="K46"/>
  <c r="L46"/>
  <c r="E29" i="147" l="1"/>
  <c r="I29" i="146"/>
  <c r="E29"/>
  <c r="D46" i="148"/>
  <c r="C46"/>
  <c r="P29" i="147" l="1"/>
  <c r="P29" i="146"/>
  <c r="G45" i="65"/>
  <c r="H45"/>
  <c r="I45"/>
  <c r="C45"/>
  <c r="D45"/>
  <c r="E45"/>
  <c r="K13"/>
  <c r="K15"/>
  <c r="K17"/>
  <c r="K19"/>
  <c r="K21"/>
  <c r="K23"/>
  <c r="K25"/>
  <c r="K27"/>
  <c r="K29"/>
  <c r="K31"/>
  <c r="K33"/>
  <c r="K35"/>
  <c r="K37"/>
  <c r="K39"/>
  <c r="K41"/>
  <c r="K43"/>
  <c r="F45" l="1"/>
  <c r="K44"/>
  <c r="K40"/>
  <c r="K36"/>
  <c r="J45"/>
  <c r="K32"/>
  <c r="K28"/>
  <c r="K24"/>
  <c r="K20"/>
  <c r="K16"/>
  <c r="K12"/>
  <c r="K42"/>
  <c r="K38"/>
  <c r="K34"/>
  <c r="K30"/>
  <c r="K26"/>
  <c r="K22"/>
  <c r="K18"/>
  <c r="K14"/>
  <c r="K11"/>
  <c r="K45" i="145"/>
  <c r="L45"/>
  <c r="M45"/>
  <c r="N45"/>
  <c r="J12"/>
  <c r="I12" s="1"/>
  <c r="J13"/>
  <c r="I13" s="1"/>
  <c r="J14"/>
  <c r="I14" s="1"/>
  <c r="J15"/>
  <c r="I15" s="1"/>
  <c r="J16"/>
  <c r="I16" s="1"/>
  <c r="J17"/>
  <c r="I17" s="1"/>
  <c r="J18"/>
  <c r="I18" s="1"/>
  <c r="J19"/>
  <c r="I19" s="1"/>
  <c r="J20"/>
  <c r="I20" s="1"/>
  <c r="J21"/>
  <c r="I21" s="1"/>
  <c r="J22"/>
  <c r="I22" s="1"/>
  <c r="J23"/>
  <c r="I23" s="1"/>
  <c r="J24"/>
  <c r="I24" s="1"/>
  <c r="J25"/>
  <c r="I25" s="1"/>
  <c r="J26"/>
  <c r="I26" s="1"/>
  <c r="J27"/>
  <c r="I27" s="1"/>
  <c r="J28"/>
  <c r="I28" s="1"/>
  <c r="J29"/>
  <c r="I29" s="1"/>
  <c r="J30"/>
  <c r="I30" s="1"/>
  <c r="J31"/>
  <c r="I31" s="1"/>
  <c r="J32"/>
  <c r="I32" s="1"/>
  <c r="J33"/>
  <c r="I33" s="1"/>
  <c r="J34"/>
  <c r="I34" s="1"/>
  <c r="J35"/>
  <c r="I35" s="1"/>
  <c r="J36"/>
  <c r="I36" s="1"/>
  <c r="J37"/>
  <c r="I37" s="1"/>
  <c r="J38"/>
  <c r="I38" s="1"/>
  <c r="J39"/>
  <c r="I39" s="1"/>
  <c r="J40"/>
  <c r="I40" s="1"/>
  <c r="J41"/>
  <c r="I41" s="1"/>
  <c r="J42"/>
  <c r="I42" s="1"/>
  <c r="J43"/>
  <c r="I43" s="1"/>
  <c r="J44"/>
  <c r="I44" s="1"/>
  <c r="J11"/>
  <c r="I11" s="1"/>
  <c r="H45"/>
  <c r="C45"/>
  <c r="O45" i="29"/>
  <c r="P45"/>
  <c r="Q45"/>
  <c r="R45"/>
  <c r="L45"/>
  <c r="C45"/>
  <c r="D45"/>
  <c r="E45"/>
  <c r="F45"/>
  <c r="G12"/>
  <c r="G13"/>
  <c r="G14"/>
  <c r="G15"/>
  <c r="G16"/>
  <c r="G17"/>
  <c r="G18"/>
  <c r="G19"/>
  <c r="G20"/>
  <c r="G21"/>
  <c r="G22"/>
  <c r="G23"/>
  <c r="G24"/>
  <c r="G25"/>
  <c r="G26"/>
  <c r="G27"/>
  <c r="G28"/>
  <c r="G29"/>
  <c r="G30"/>
  <c r="G31"/>
  <c r="G32"/>
  <c r="G33"/>
  <c r="G34"/>
  <c r="G35"/>
  <c r="G36"/>
  <c r="G37"/>
  <c r="G38"/>
  <c r="G39"/>
  <c r="G40"/>
  <c r="G41"/>
  <c r="G42"/>
  <c r="G43"/>
  <c r="G44"/>
  <c r="G11"/>
  <c r="K28" i="28"/>
  <c r="J28"/>
  <c r="L23"/>
  <c r="K23"/>
  <c r="I23"/>
  <c r="F23"/>
  <c r="E23"/>
  <c r="D23"/>
  <c r="C23"/>
  <c r="G22"/>
  <c r="H22" s="1"/>
  <c r="J22" s="1"/>
  <c r="G21"/>
  <c r="H21" s="1"/>
  <c r="J21" s="1"/>
  <c r="G20"/>
  <c r="H20" s="1"/>
  <c r="J20" s="1"/>
  <c r="G19"/>
  <c r="H19" s="1"/>
  <c r="J19" s="1"/>
  <c r="G18"/>
  <c r="H18" s="1"/>
  <c r="J18" s="1"/>
  <c r="G17"/>
  <c r="H17" s="1"/>
  <c r="J17" s="1"/>
  <c r="G16"/>
  <c r="H16" s="1"/>
  <c r="J16" s="1"/>
  <c r="G15"/>
  <c r="H15" s="1"/>
  <c r="J15" s="1"/>
  <c r="G14"/>
  <c r="H14" s="1"/>
  <c r="J14" s="1"/>
  <c r="G13"/>
  <c r="H13" s="1"/>
  <c r="J13" s="1"/>
  <c r="G12"/>
  <c r="H12" s="1"/>
  <c r="G11"/>
  <c r="H11" s="1"/>
  <c r="K28" i="27"/>
  <c r="J28"/>
  <c r="E23"/>
  <c r="F23"/>
  <c r="I23"/>
  <c r="K23"/>
  <c r="L23"/>
  <c r="D23"/>
  <c r="G12"/>
  <c r="G13"/>
  <c r="H13" s="1"/>
  <c r="J13" s="1"/>
  <c r="G14"/>
  <c r="H14" s="1"/>
  <c r="J14" s="1"/>
  <c r="G15"/>
  <c r="H15" s="1"/>
  <c r="J15" s="1"/>
  <c r="G16"/>
  <c r="H16" s="1"/>
  <c r="J16" s="1"/>
  <c r="G17"/>
  <c r="H17" s="1"/>
  <c r="J17" s="1"/>
  <c r="G18"/>
  <c r="H18" s="1"/>
  <c r="J18" s="1"/>
  <c r="G19"/>
  <c r="H19" s="1"/>
  <c r="J19" s="1"/>
  <c r="G20"/>
  <c r="H20" s="1"/>
  <c r="J20" s="1"/>
  <c r="G21"/>
  <c r="H21" s="1"/>
  <c r="J21" s="1"/>
  <c r="G22"/>
  <c r="H22" s="1"/>
  <c r="J22" s="1"/>
  <c r="G11"/>
  <c r="H11" s="1"/>
  <c r="G45" i="145" l="1"/>
  <c r="F45"/>
  <c r="E38" i="144"/>
  <c r="I38"/>
  <c r="J38"/>
  <c r="E34"/>
  <c r="I34"/>
  <c r="J34"/>
  <c r="E26"/>
  <c r="I26"/>
  <c r="J26"/>
  <c r="E22"/>
  <c r="J22"/>
  <c r="I22"/>
  <c r="E14"/>
  <c r="J14"/>
  <c r="I14"/>
  <c r="E41"/>
  <c r="I41"/>
  <c r="J41"/>
  <c r="E37"/>
  <c r="J37"/>
  <c r="I37"/>
  <c r="E29"/>
  <c r="J29"/>
  <c r="I29"/>
  <c r="E17"/>
  <c r="I17"/>
  <c r="J17"/>
  <c r="I39"/>
  <c r="J39"/>
  <c r="E39"/>
  <c r="I35"/>
  <c r="J35"/>
  <c r="E35"/>
  <c r="J31"/>
  <c r="I31"/>
  <c r="E31"/>
  <c r="I27"/>
  <c r="J27"/>
  <c r="E27"/>
  <c r="I23"/>
  <c r="J23"/>
  <c r="E23"/>
  <c r="I19"/>
  <c r="J19"/>
  <c r="E19"/>
  <c r="J15"/>
  <c r="I15"/>
  <c r="E15"/>
  <c r="I11"/>
  <c r="J11"/>
  <c r="E11"/>
  <c r="J8"/>
  <c r="I8"/>
  <c r="E8"/>
  <c r="E30"/>
  <c r="I30"/>
  <c r="J30"/>
  <c r="E18"/>
  <c r="I18"/>
  <c r="J18"/>
  <c r="E10"/>
  <c r="I10"/>
  <c r="J10"/>
  <c r="E33"/>
  <c r="I33"/>
  <c r="J33"/>
  <c r="E25"/>
  <c r="I25"/>
  <c r="J25"/>
  <c r="E21"/>
  <c r="I21"/>
  <c r="J21"/>
  <c r="E13"/>
  <c r="J13"/>
  <c r="I13"/>
  <c r="E9"/>
  <c r="I9"/>
  <c r="J9"/>
  <c r="I40"/>
  <c r="J40"/>
  <c r="E40"/>
  <c r="J36"/>
  <c r="I36"/>
  <c r="E36"/>
  <c r="I32"/>
  <c r="J32"/>
  <c r="E32"/>
  <c r="I28"/>
  <c r="J28"/>
  <c r="E28"/>
  <c r="I24"/>
  <c r="J24"/>
  <c r="E24"/>
  <c r="J20"/>
  <c r="I20"/>
  <c r="E20"/>
  <c r="I16"/>
  <c r="J16"/>
  <c r="E16"/>
  <c r="I12"/>
  <c r="J12"/>
  <c r="E12"/>
  <c r="J44" i="29"/>
  <c r="J40"/>
  <c r="J36"/>
  <c r="J32"/>
  <c r="J28"/>
  <c r="J24"/>
  <c r="J20"/>
  <c r="J16"/>
  <c r="J12"/>
  <c r="K43"/>
  <c r="N39"/>
  <c r="M39" s="1"/>
  <c r="N35"/>
  <c r="M35" s="1"/>
  <c r="K31"/>
  <c r="N27"/>
  <c r="M27" s="1"/>
  <c r="N23"/>
  <c r="M23" s="1"/>
  <c r="K19"/>
  <c r="N15"/>
  <c r="M15" s="1"/>
  <c r="K42"/>
  <c r="K38"/>
  <c r="K34"/>
  <c r="K30"/>
  <c r="K26"/>
  <c r="K22"/>
  <c r="K18"/>
  <c r="K14"/>
  <c r="N11"/>
  <c r="M11" s="1"/>
  <c r="N41"/>
  <c r="M41" s="1"/>
  <c r="N37"/>
  <c r="M37" s="1"/>
  <c r="N33"/>
  <c r="M33" s="1"/>
  <c r="N29"/>
  <c r="M29" s="1"/>
  <c r="N25"/>
  <c r="M25" s="1"/>
  <c r="N21"/>
  <c r="M21" s="1"/>
  <c r="N17"/>
  <c r="M17" s="1"/>
  <c r="N13"/>
  <c r="M13" s="1"/>
  <c r="E43" i="145"/>
  <c r="P43" s="1"/>
  <c r="E39"/>
  <c r="P39" s="1"/>
  <c r="E35"/>
  <c r="P35" s="1"/>
  <c r="E31"/>
  <c r="P31" s="1"/>
  <c r="E27"/>
  <c r="P27" s="1"/>
  <c r="E23"/>
  <c r="P23" s="1"/>
  <c r="E19"/>
  <c r="P19" s="1"/>
  <c r="E15"/>
  <c r="P15" s="1"/>
  <c r="E42"/>
  <c r="P42" s="1"/>
  <c r="E38"/>
  <c r="P38" s="1"/>
  <c r="E34"/>
  <c r="P34" s="1"/>
  <c r="E30"/>
  <c r="P30" s="1"/>
  <c r="E26"/>
  <c r="P26" s="1"/>
  <c r="E22"/>
  <c r="P22" s="1"/>
  <c r="E18"/>
  <c r="P18" s="1"/>
  <c r="E14"/>
  <c r="P14" s="1"/>
  <c r="J25" i="29"/>
  <c r="N24"/>
  <c r="M24" s="1"/>
  <c r="E44" i="145"/>
  <c r="P44" s="1"/>
  <c r="E40"/>
  <c r="P40" s="1"/>
  <c r="E36"/>
  <c r="P36" s="1"/>
  <c r="E32"/>
  <c r="P32" s="1"/>
  <c r="E28"/>
  <c r="P28" s="1"/>
  <c r="E24"/>
  <c r="P24" s="1"/>
  <c r="E20"/>
  <c r="P20" s="1"/>
  <c r="E16"/>
  <c r="P16" s="1"/>
  <c r="E12"/>
  <c r="P12" s="1"/>
  <c r="K11" i="29"/>
  <c r="N16"/>
  <c r="M16" s="1"/>
  <c r="J41"/>
  <c r="N32"/>
  <c r="M32" s="1"/>
  <c r="J37"/>
  <c r="J21"/>
  <c r="N38"/>
  <c r="M38" s="1"/>
  <c r="N30"/>
  <c r="M30" s="1"/>
  <c r="N22"/>
  <c r="M22" s="1"/>
  <c r="N14"/>
  <c r="M14" s="1"/>
  <c r="N42"/>
  <c r="M42" s="1"/>
  <c r="K45" i="65"/>
  <c r="G23" i="27"/>
  <c r="J33" i="29"/>
  <c r="J17"/>
  <c r="N36"/>
  <c r="M36" s="1"/>
  <c r="N28"/>
  <c r="M28" s="1"/>
  <c r="N20"/>
  <c r="M20" s="1"/>
  <c r="N12"/>
  <c r="M12" s="1"/>
  <c r="I45" i="145"/>
  <c r="G23" i="28"/>
  <c r="G45" i="29"/>
  <c r="J11"/>
  <c r="J29"/>
  <c r="J13"/>
  <c r="N34"/>
  <c r="M34" s="1"/>
  <c r="N26"/>
  <c r="M26" s="1"/>
  <c r="N18"/>
  <c r="M18" s="1"/>
  <c r="E41" i="145"/>
  <c r="P41" s="1"/>
  <c r="E37"/>
  <c r="P37" s="1"/>
  <c r="E33"/>
  <c r="P33" s="1"/>
  <c r="E29"/>
  <c r="P29" s="1"/>
  <c r="E25"/>
  <c r="P25" s="1"/>
  <c r="E21"/>
  <c r="P21" s="1"/>
  <c r="E17"/>
  <c r="P17" s="1"/>
  <c r="E13"/>
  <c r="P13" s="1"/>
  <c r="E11"/>
  <c r="J45"/>
  <c r="K35" i="29"/>
  <c r="K27"/>
  <c r="J39"/>
  <c r="J35"/>
  <c r="J31"/>
  <c r="I31" s="1"/>
  <c r="T31" s="1"/>
  <c r="J27"/>
  <c r="I27" s="1"/>
  <c r="T27" s="1"/>
  <c r="J23"/>
  <c r="J19"/>
  <c r="J15"/>
  <c r="K41"/>
  <c r="K37"/>
  <c r="K33"/>
  <c r="K29"/>
  <c r="I29" s="1"/>
  <c r="T29" s="1"/>
  <c r="K25"/>
  <c r="K21"/>
  <c r="K17"/>
  <c r="K13"/>
  <c r="N44"/>
  <c r="M44" s="1"/>
  <c r="N40"/>
  <c r="M40" s="1"/>
  <c r="K39"/>
  <c r="K23"/>
  <c r="K15"/>
  <c r="J43"/>
  <c r="J42"/>
  <c r="J38"/>
  <c r="I38" s="1"/>
  <c r="T38" s="1"/>
  <c r="J34"/>
  <c r="J30"/>
  <c r="J26"/>
  <c r="J22"/>
  <c r="I22" s="1"/>
  <c r="T22" s="1"/>
  <c r="J18"/>
  <c r="J14"/>
  <c r="K44"/>
  <c r="I44" s="1"/>
  <c r="T44" s="1"/>
  <c r="K40"/>
  <c r="K36"/>
  <c r="K32"/>
  <c r="K28"/>
  <c r="I28" s="1"/>
  <c r="T28" s="1"/>
  <c r="K24"/>
  <c r="K20"/>
  <c r="K16"/>
  <c r="K12"/>
  <c r="I12" s="1"/>
  <c r="N43"/>
  <c r="M43" s="1"/>
  <c r="N31"/>
  <c r="M31" s="1"/>
  <c r="N19"/>
  <c r="M19" s="1"/>
  <c r="H23" i="28"/>
  <c r="J23"/>
  <c r="J25" s="1"/>
  <c r="H12" i="27"/>
  <c r="I24" i="29" l="1"/>
  <c r="T24" s="1"/>
  <c r="I40"/>
  <c r="T40" s="1"/>
  <c r="K18" i="144"/>
  <c r="K8"/>
  <c r="K22"/>
  <c r="I16" i="29"/>
  <c r="T16" s="1"/>
  <c r="I32"/>
  <c r="T32" s="1"/>
  <c r="K24" i="144"/>
  <c r="K40"/>
  <c r="K25"/>
  <c r="K19"/>
  <c r="K35"/>
  <c r="I19" i="29"/>
  <c r="T19" s="1"/>
  <c r="K21" i="144"/>
  <c r="I20" i="29"/>
  <c r="T20" s="1"/>
  <c r="I36"/>
  <c r="T36" s="1"/>
  <c r="I18"/>
  <c r="T18" s="1"/>
  <c r="I34"/>
  <c r="T34" s="1"/>
  <c r="I25"/>
  <c r="T25" s="1"/>
  <c r="K13" i="144"/>
  <c r="K10"/>
  <c r="K20"/>
  <c r="K15"/>
  <c r="K31"/>
  <c r="K29"/>
  <c r="O32"/>
  <c r="O13"/>
  <c r="O15"/>
  <c r="I26" i="29"/>
  <c r="T26" s="1"/>
  <c r="I11"/>
  <c r="T11" s="1"/>
  <c r="K12" i="144"/>
  <c r="O36"/>
  <c r="K9"/>
  <c r="O21"/>
  <c r="K33"/>
  <c r="O19"/>
  <c r="K23"/>
  <c r="O22"/>
  <c r="O26"/>
  <c r="K34"/>
  <c r="I14" i="29"/>
  <c r="T14" s="1"/>
  <c r="I30"/>
  <c r="T30" s="1"/>
  <c r="I43"/>
  <c r="T43" s="1"/>
  <c r="I37"/>
  <c r="T37" s="1"/>
  <c r="E42" i="144"/>
  <c r="I42"/>
  <c r="J42"/>
  <c r="K16"/>
  <c r="K32"/>
  <c r="K36"/>
  <c r="O40"/>
  <c r="O9"/>
  <c r="O25"/>
  <c r="O33"/>
  <c r="O30"/>
  <c r="O8"/>
  <c r="K11"/>
  <c r="O23"/>
  <c r="K27"/>
  <c r="O39"/>
  <c r="K17"/>
  <c r="O37"/>
  <c r="K14"/>
  <c r="K38"/>
  <c r="O20"/>
  <c r="O10"/>
  <c r="O31"/>
  <c r="O29"/>
  <c r="O14"/>
  <c r="O38"/>
  <c r="I42" i="29"/>
  <c r="T42" s="1"/>
  <c r="O24" i="144"/>
  <c r="K28"/>
  <c r="O18"/>
  <c r="O35"/>
  <c r="K39"/>
  <c r="K41"/>
  <c r="O12"/>
  <c r="O16"/>
  <c r="O28"/>
  <c r="K30"/>
  <c r="O11"/>
  <c r="O27"/>
  <c r="O17"/>
  <c r="K37"/>
  <c r="O41"/>
  <c r="K26"/>
  <c r="O34"/>
  <c r="I41" i="29"/>
  <c r="T41" s="1"/>
  <c r="I17"/>
  <c r="T17" s="1"/>
  <c r="I33"/>
  <c r="T33" s="1"/>
  <c r="I13"/>
  <c r="T13" s="1"/>
  <c r="J23" i="27"/>
  <c r="J25" s="1"/>
  <c r="M45" i="29"/>
  <c r="I21"/>
  <c r="T21" s="1"/>
  <c r="E45" i="145"/>
  <c r="P11"/>
  <c r="P45" s="1"/>
  <c r="J45" i="29"/>
  <c r="I15"/>
  <c r="T15" s="1"/>
  <c r="T12"/>
  <c r="N45"/>
  <c r="K45"/>
  <c r="I35"/>
  <c r="T35" s="1"/>
  <c r="I23"/>
  <c r="T23" s="1"/>
  <c r="I39"/>
  <c r="T39" s="1"/>
  <c r="H23" i="27"/>
  <c r="O42" i="144" l="1"/>
  <c r="K42"/>
  <c r="I45" i="29"/>
  <c r="T45"/>
  <c r="G16" i="14" l="1"/>
  <c r="H16" s="1"/>
  <c r="G25"/>
  <c r="H25" s="1"/>
  <c r="F25"/>
  <c r="F16"/>
  <c r="D25"/>
  <c r="E26"/>
  <c r="D16"/>
  <c r="D26" l="1"/>
  <c r="F26"/>
  <c r="H26"/>
  <c r="C26"/>
  <c r="G26"/>
  <c r="I13" i="13"/>
  <c r="I14"/>
  <c r="I15"/>
  <c r="I16"/>
  <c r="I17"/>
  <c r="I18"/>
  <c r="I19"/>
  <c r="I20"/>
  <c r="I21"/>
  <c r="I22"/>
  <c r="I23"/>
  <c r="I24"/>
  <c r="I25"/>
  <c r="I26"/>
  <c r="I27"/>
  <c r="I28"/>
  <c r="I29"/>
  <c r="I30"/>
  <c r="I31"/>
  <c r="I32"/>
  <c r="I33"/>
  <c r="I34"/>
  <c r="I35"/>
  <c r="I36"/>
  <c r="I37"/>
  <c r="I38"/>
  <c r="I39"/>
  <c r="I40"/>
  <c r="I41"/>
  <c r="I42"/>
  <c r="I43"/>
  <c r="I44"/>
  <c r="I45"/>
  <c r="I12"/>
  <c r="H46"/>
  <c r="I46" l="1"/>
  <c r="F46"/>
  <c r="D46"/>
  <c r="E46"/>
  <c r="U14" i="114"/>
  <c r="V14"/>
  <c r="U15"/>
  <c r="V15"/>
  <c r="U16"/>
  <c r="V16"/>
  <c r="U17"/>
  <c r="V17"/>
  <c r="U18"/>
  <c r="V18"/>
  <c r="U19"/>
  <c r="V19"/>
  <c r="U20"/>
  <c r="V20"/>
  <c r="U21"/>
  <c r="V21"/>
  <c r="U22"/>
  <c r="V22"/>
  <c r="U23"/>
  <c r="V23"/>
  <c r="U24"/>
  <c r="V24"/>
  <c r="U25"/>
  <c r="V25"/>
  <c r="U26"/>
  <c r="V26"/>
  <c r="U27"/>
  <c r="V27"/>
  <c r="U28"/>
  <c r="V28"/>
  <c r="U29"/>
  <c r="V29"/>
  <c r="U30"/>
  <c r="V30"/>
  <c r="U31"/>
  <c r="V31"/>
  <c r="U32"/>
  <c r="V32"/>
  <c r="U33"/>
  <c r="V33"/>
  <c r="U34"/>
  <c r="V34"/>
  <c r="U35"/>
  <c r="V35"/>
  <c r="U36"/>
  <c r="V36"/>
  <c r="U37"/>
  <c r="V37"/>
  <c r="U38"/>
  <c r="V38"/>
  <c r="U39"/>
  <c r="V39"/>
  <c r="U40"/>
  <c r="V40"/>
  <c r="U41"/>
  <c r="V41"/>
  <c r="U42"/>
  <c r="V42"/>
  <c r="U43"/>
  <c r="V43"/>
  <c r="U44"/>
  <c r="V44"/>
  <c r="U45"/>
  <c r="V45"/>
  <c r="U46"/>
  <c r="V46"/>
  <c r="V13"/>
  <c r="U13"/>
  <c r="E14"/>
  <c r="F14"/>
  <c r="E15"/>
  <c r="F15"/>
  <c r="E16"/>
  <c r="F16"/>
  <c r="E17"/>
  <c r="F17"/>
  <c r="E18"/>
  <c r="F18"/>
  <c r="E19"/>
  <c r="F19"/>
  <c r="E20"/>
  <c r="F20"/>
  <c r="E21"/>
  <c r="F21"/>
  <c r="E22"/>
  <c r="F22"/>
  <c r="E23"/>
  <c r="F23"/>
  <c r="E24"/>
  <c r="F24"/>
  <c r="E25"/>
  <c r="F25"/>
  <c r="E26"/>
  <c r="F26"/>
  <c r="E27"/>
  <c r="F27"/>
  <c r="E28"/>
  <c r="F28"/>
  <c r="E29"/>
  <c r="F29"/>
  <c r="E30"/>
  <c r="F30"/>
  <c r="E31"/>
  <c r="F31"/>
  <c r="E32"/>
  <c r="F32"/>
  <c r="E33"/>
  <c r="F33"/>
  <c r="E34"/>
  <c r="F34"/>
  <c r="E35"/>
  <c r="F35"/>
  <c r="E36"/>
  <c r="F36"/>
  <c r="E37"/>
  <c r="F37"/>
  <c r="E38"/>
  <c r="F38"/>
  <c r="E39"/>
  <c r="F39"/>
  <c r="E40"/>
  <c r="F40"/>
  <c r="E41"/>
  <c r="F41"/>
  <c r="E42"/>
  <c r="F42"/>
  <c r="E43"/>
  <c r="F43"/>
  <c r="E44"/>
  <c r="F44"/>
  <c r="E45"/>
  <c r="F45"/>
  <c r="E46"/>
  <c r="F46"/>
  <c r="F13"/>
  <c r="E13"/>
  <c r="Q14"/>
  <c r="R14"/>
  <c r="Q15"/>
  <c r="R15"/>
  <c r="Q16"/>
  <c r="R16"/>
  <c r="Q17"/>
  <c r="R17"/>
  <c r="Q18"/>
  <c r="R18"/>
  <c r="Q19"/>
  <c r="R19"/>
  <c r="Q20"/>
  <c r="R20"/>
  <c r="Q21"/>
  <c r="R21"/>
  <c r="Q22"/>
  <c r="R22"/>
  <c r="Q23"/>
  <c r="R23"/>
  <c r="Q24"/>
  <c r="R24"/>
  <c r="Q25"/>
  <c r="R25"/>
  <c r="Q26"/>
  <c r="R26"/>
  <c r="Q27"/>
  <c r="R27"/>
  <c r="Q28"/>
  <c r="R28"/>
  <c r="Q29"/>
  <c r="R29"/>
  <c r="Q30"/>
  <c r="R30"/>
  <c r="Q31"/>
  <c r="R31"/>
  <c r="Q32"/>
  <c r="R32"/>
  <c r="Q33"/>
  <c r="R33"/>
  <c r="Q34"/>
  <c r="R34"/>
  <c r="Q35"/>
  <c r="R35"/>
  <c r="Q36"/>
  <c r="R36"/>
  <c r="Q37"/>
  <c r="R37"/>
  <c r="Q38"/>
  <c r="R38"/>
  <c r="Q39"/>
  <c r="R39"/>
  <c r="Q40"/>
  <c r="R40"/>
  <c r="Q41"/>
  <c r="R41"/>
  <c r="Q42"/>
  <c r="R42"/>
  <c r="Q43"/>
  <c r="R43"/>
  <c r="Q44"/>
  <c r="R44"/>
  <c r="Q45"/>
  <c r="R45"/>
  <c r="Q46"/>
  <c r="R46"/>
  <c r="R13"/>
  <c r="Q13"/>
  <c r="N47"/>
  <c r="O47"/>
  <c r="P14"/>
  <c r="P15"/>
  <c r="P16"/>
  <c r="P17"/>
  <c r="P18"/>
  <c r="P19"/>
  <c r="P20"/>
  <c r="P21"/>
  <c r="P22"/>
  <c r="P23"/>
  <c r="P24"/>
  <c r="P25"/>
  <c r="P26"/>
  <c r="P27"/>
  <c r="P28"/>
  <c r="P29"/>
  <c r="P30"/>
  <c r="P31"/>
  <c r="P32"/>
  <c r="P33"/>
  <c r="P34"/>
  <c r="P35"/>
  <c r="P36"/>
  <c r="P37"/>
  <c r="P38"/>
  <c r="P39"/>
  <c r="P40"/>
  <c r="P41"/>
  <c r="P42"/>
  <c r="P43"/>
  <c r="P44"/>
  <c r="P45"/>
  <c r="P46"/>
  <c r="P13"/>
  <c r="K47"/>
  <c r="L47"/>
  <c r="M14"/>
  <c r="M15"/>
  <c r="M16"/>
  <c r="M17"/>
  <c r="M18"/>
  <c r="M19"/>
  <c r="M20"/>
  <c r="M21"/>
  <c r="M22"/>
  <c r="M23"/>
  <c r="M24"/>
  <c r="M25"/>
  <c r="M26"/>
  <c r="M27"/>
  <c r="M28"/>
  <c r="M29"/>
  <c r="M30"/>
  <c r="M31"/>
  <c r="M32"/>
  <c r="M33"/>
  <c r="M34"/>
  <c r="M35"/>
  <c r="M36"/>
  <c r="M37"/>
  <c r="M38"/>
  <c r="M39"/>
  <c r="M40"/>
  <c r="M41"/>
  <c r="M42"/>
  <c r="M43"/>
  <c r="M44"/>
  <c r="M45"/>
  <c r="M46"/>
  <c r="M13"/>
  <c r="I47"/>
  <c r="H47"/>
  <c r="J46"/>
  <c r="J45"/>
  <c r="J44"/>
  <c r="J43"/>
  <c r="J42"/>
  <c r="J41"/>
  <c r="J40"/>
  <c r="J39"/>
  <c r="J38"/>
  <c r="J37"/>
  <c r="J36"/>
  <c r="J35"/>
  <c r="J34"/>
  <c r="J33"/>
  <c r="J32"/>
  <c r="J31"/>
  <c r="J30"/>
  <c r="J29"/>
  <c r="J28"/>
  <c r="J27"/>
  <c r="J26"/>
  <c r="J25"/>
  <c r="J24"/>
  <c r="J23"/>
  <c r="J22"/>
  <c r="J21"/>
  <c r="J20"/>
  <c r="J19"/>
  <c r="J18"/>
  <c r="J17"/>
  <c r="J16"/>
  <c r="J15"/>
  <c r="J14"/>
  <c r="J13"/>
  <c r="C47"/>
  <c r="D47"/>
  <c r="U15" i="88"/>
  <c r="V15" s="1"/>
  <c r="U16"/>
  <c r="V16" s="1"/>
  <c r="U17"/>
  <c r="V17" s="1"/>
  <c r="U18"/>
  <c r="V18" s="1"/>
  <c r="U19"/>
  <c r="V19" s="1"/>
  <c r="U20"/>
  <c r="V20" s="1"/>
  <c r="U21"/>
  <c r="V21" s="1"/>
  <c r="U22"/>
  <c r="V22" s="1"/>
  <c r="U23"/>
  <c r="V23" s="1"/>
  <c r="U24"/>
  <c r="V24" s="1"/>
  <c r="U25"/>
  <c r="V25" s="1"/>
  <c r="U26"/>
  <c r="V26" s="1"/>
  <c r="U27"/>
  <c r="V27" s="1"/>
  <c r="U28"/>
  <c r="V28" s="1"/>
  <c r="U29"/>
  <c r="V29" s="1"/>
  <c r="U30"/>
  <c r="V30" s="1"/>
  <c r="U31"/>
  <c r="V31" s="1"/>
  <c r="U32"/>
  <c r="V32" s="1"/>
  <c r="U33"/>
  <c r="V33" s="1"/>
  <c r="U34"/>
  <c r="V34" s="1"/>
  <c r="U35"/>
  <c r="V35" s="1"/>
  <c r="U36"/>
  <c r="V36" s="1"/>
  <c r="U37"/>
  <c r="V37" s="1"/>
  <c r="U38"/>
  <c r="V38" s="1"/>
  <c r="U39"/>
  <c r="V39" s="1"/>
  <c r="U40"/>
  <c r="V40" s="1"/>
  <c r="U41"/>
  <c r="V41" s="1"/>
  <c r="U42"/>
  <c r="V42" s="1"/>
  <c r="U43"/>
  <c r="V43" s="1"/>
  <c r="U44"/>
  <c r="V44" s="1"/>
  <c r="U45"/>
  <c r="V45" s="1"/>
  <c r="U46"/>
  <c r="V46" s="1"/>
  <c r="U47"/>
  <c r="V47" s="1"/>
  <c r="U14"/>
  <c r="E15"/>
  <c r="F15"/>
  <c r="E16"/>
  <c r="F16"/>
  <c r="E17"/>
  <c r="F17"/>
  <c r="E18"/>
  <c r="F18"/>
  <c r="E19"/>
  <c r="F19"/>
  <c r="E20"/>
  <c r="F20"/>
  <c r="E21"/>
  <c r="F21"/>
  <c r="E22"/>
  <c r="F22"/>
  <c r="E23"/>
  <c r="F23"/>
  <c r="E24"/>
  <c r="F24"/>
  <c r="E25"/>
  <c r="F25"/>
  <c r="E26"/>
  <c r="F26"/>
  <c r="E27"/>
  <c r="F27"/>
  <c r="E28"/>
  <c r="F28"/>
  <c r="E29"/>
  <c r="F29"/>
  <c r="E30"/>
  <c r="F30"/>
  <c r="E31"/>
  <c r="F31"/>
  <c r="E32"/>
  <c r="F32"/>
  <c r="E33"/>
  <c r="F33"/>
  <c r="E34"/>
  <c r="F34"/>
  <c r="E35"/>
  <c r="F35"/>
  <c r="E36"/>
  <c r="F36"/>
  <c r="E37"/>
  <c r="F37"/>
  <c r="E38"/>
  <c r="F38"/>
  <c r="E39"/>
  <c r="F39"/>
  <c r="E40"/>
  <c r="F40"/>
  <c r="E41"/>
  <c r="F41"/>
  <c r="E42"/>
  <c r="F42"/>
  <c r="E43"/>
  <c r="F43"/>
  <c r="E44"/>
  <c r="F44"/>
  <c r="E45"/>
  <c r="F45"/>
  <c r="E46"/>
  <c r="F46"/>
  <c r="E47"/>
  <c r="F47"/>
  <c r="F14"/>
  <c r="E14"/>
  <c r="R15"/>
  <c r="R16"/>
  <c r="R17"/>
  <c r="R18"/>
  <c r="R19"/>
  <c r="R20"/>
  <c r="R21"/>
  <c r="R22"/>
  <c r="R23"/>
  <c r="R24"/>
  <c r="R25"/>
  <c r="R26"/>
  <c r="R27"/>
  <c r="R28"/>
  <c r="R29"/>
  <c r="R30"/>
  <c r="R31"/>
  <c r="R32"/>
  <c r="R33"/>
  <c r="R34"/>
  <c r="R35"/>
  <c r="R36"/>
  <c r="R37"/>
  <c r="R38"/>
  <c r="R39"/>
  <c r="R40"/>
  <c r="R41"/>
  <c r="R42"/>
  <c r="R43"/>
  <c r="R44"/>
  <c r="R45"/>
  <c r="R46"/>
  <c r="R47"/>
  <c r="R14"/>
  <c r="Q15"/>
  <c r="Q16"/>
  <c r="Q17"/>
  <c r="Q18"/>
  <c r="Q19"/>
  <c r="Q20"/>
  <c r="Q21"/>
  <c r="Q22"/>
  <c r="Q23"/>
  <c r="Q24"/>
  <c r="Q25"/>
  <c r="Q26"/>
  <c r="Q27"/>
  <c r="Q28"/>
  <c r="Q29"/>
  <c r="Q30"/>
  <c r="Q31"/>
  <c r="Q32"/>
  <c r="Q33"/>
  <c r="Q34"/>
  <c r="Q35"/>
  <c r="Q36"/>
  <c r="Q37"/>
  <c r="Q38"/>
  <c r="Q39"/>
  <c r="Q40"/>
  <c r="Q41"/>
  <c r="Q42"/>
  <c r="Q43"/>
  <c r="Q44"/>
  <c r="Q45"/>
  <c r="Q46"/>
  <c r="Q47"/>
  <c r="Q14"/>
  <c r="N48"/>
  <c r="O48"/>
  <c r="P15"/>
  <c r="P16"/>
  <c r="P17"/>
  <c r="P18"/>
  <c r="P19"/>
  <c r="P20"/>
  <c r="P21"/>
  <c r="P22"/>
  <c r="P23"/>
  <c r="P24"/>
  <c r="P25"/>
  <c r="P26"/>
  <c r="P27"/>
  <c r="P28"/>
  <c r="P29"/>
  <c r="P30"/>
  <c r="P31"/>
  <c r="P32"/>
  <c r="P33"/>
  <c r="P34"/>
  <c r="P35"/>
  <c r="P36"/>
  <c r="P37"/>
  <c r="P38"/>
  <c r="P39"/>
  <c r="P40"/>
  <c r="P41"/>
  <c r="P42"/>
  <c r="P43"/>
  <c r="P44"/>
  <c r="P45"/>
  <c r="P46"/>
  <c r="P47"/>
  <c r="P14"/>
  <c r="K48"/>
  <c r="L48"/>
  <c r="M15"/>
  <c r="M16"/>
  <c r="M17"/>
  <c r="M18"/>
  <c r="M19"/>
  <c r="M20"/>
  <c r="M21"/>
  <c r="M22"/>
  <c r="M23"/>
  <c r="M24"/>
  <c r="M25"/>
  <c r="M26"/>
  <c r="M27"/>
  <c r="M28"/>
  <c r="M29"/>
  <c r="M30"/>
  <c r="M31"/>
  <c r="M32"/>
  <c r="M33"/>
  <c r="M34"/>
  <c r="M35"/>
  <c r="M36"/>
  <c r="M37"/>
  <c r="M38"/>
  <c r="M39"/>
  <c r="M40"/>
  <c r="M41"/>
  <c r="M42"/>
  <c r="M43"/>
  <c r="M44"/>
  <c r="M45"/>
  <c r="M46"/>
  <c r="M47"/>
  <c r="M14"/>
  <c r="G38" i="114" l="1"/>
  <c r="G46"/>
  <c r="G14"/>
  <c r="U47"/>
  <c r="G47" i="88"/>
  <c r="G45"/>
  <c r="G43"/>
  <c r="S41" i="114"/>
  <c r="S25"/>
  <c r="S21"/>
  <c r="S17"/>
  <c r="G13"/>
  <c r="V47"/>
  <c r="U48" i="88"/>
  <c r="G23"/>
  <c r="P47" i="114"/>
  <c r="P48" i="88"/>
  <c r="S14"/>
  <c r="S44"/>
  <c r="S40"/>
  <c r="S36"/>
  <c r="S32"/>
  <c r="S28"/>
  <c r="S24"/>
  <c r="S20"/>
  <c r="S16"/>
  <c r="C46" i="13"/>
  <c r="G22" i="114"/>
  <c r="S13"/>
  <c r="G39" i="88"/>
  <c r="G31"/>
  <c r="G14"/>
  <c r="G46"/>
  <c r="S46" i="114"/>
  <c r="S44"/>
  <c r="S42"/>
  <c r="S38"/>
  <c r="S22"/>
  <c r="G30"/>
  <c r="S30"/>
  <c r="S26"/>
  <c r="S14"/>
  <c r="G42"/>
  <c r="G40"/>
  <c r="G34"/>
  <c r="G32"/>
  <c r="G26"/>
  <c r="G24"/>
  <c r="G18"/>
  <c r="G16"/>
  <c r="S37"/>
  <c r="S33"/>
  <c r="G45"/>
  <c r="G43"/>
  <c r="G41"/>
  <c r="G39"/>
  <c r="G37"/>
  <c r="G35"/>
  <c r="G33"/>
  <c r="G31"/>
  <c r="G29"/>
  <c r="G27"/>
  <c r="G25"/>
  <c r="G23"/>
  <c r="G21"/>
  <c r="G19"/>
  <c r="G17"/>
  <c r="M48" i="88"/>
  <c r="G34"/>
  <c r="G32"/>
  <c r="G15"/>
  <c r="G26"/>
  <c r="G24"/>
  <c r="G22"/>
  <c r="S45"/>
  <c r="S41"/>
  <c r="S37"/>
  <c r="S33"/>
  <c r="S29"/>
  <c r="S25"/>
  <c r="S21"/>
  <c r="S17"/>
  <c r="G30"/>
  <c r="G19"/>
  <c r="V14"/>
  <c r="S39" i="114"/>
  <c r="G44"/>
  <c r="G36"/>
  <c r="G28"/>
  <c r="G20"/>
  <c r="E47"/>
  <c r="G37" i="88"/>
  <c r="G35"/>
  <c r="G18"/>
  <c r="M47" i="114"/>
  <c r="S46" i="88"/>
  <c r="S42"/>
  <c r="S38"/>
  <c r="S34"/>
  <c r="S30"/>
  <c r="S26"/>
  <c r="S22"/>
  <c r="S18"/>
  <c r="G42"/>
  <c r="G40"/>
  <c r="G38"/>
  <c r="G29"/>
  <c r="G27"/>
  <c r="F48"/>
  <c r="S45" i="114"/>
  <c r="S36"/>
  <c r="S34"/>
  <c r="S29"/>
  <c r="S18"/>
  <c r="R47"/>
  <c r="S43"/>
  <c r="S35"/>
  <c r="S19"/>
  <c r="Q47"/>
  <c r="F47"/>
  <c r="J47"/>
  <c r="S40"/>
  <c r="S32"/>
  <c r="S27"/>
  <c r="S24"/>
  <c r="S16"/>
  <c r="S31"/>
  <c r="S28"/>
  <c r="S23"/>
  <c r="S20"/>
  <c r="S15"/>
  <c r="G15"/>
  <c r="V48" i="88"/>
  <c r="R48"/>
  <c r="G44"/>
  <c r="G41"/>
  <c r="G36"/>
  <c r="G33"/>
  <c r="G28"/>
  <c r="G25"/>
  <c r="G20"/>
  <c r="G17"/>
  <c r="E48"/>
  <c r="S47"/>
  <c r="S43"/>
  <c r="S39"/>
  <c r="S35"/>
  <c r="S31"/>
  <c r="S27"/>
  <c r="S23"/>
  <c r="S19"/>
  <c r="S15"/>
  <c r="G21"/>
  <c r="G16"/>
  <c r="Q48"/>
  <c r="G48" l="1"/>
  <c r="S48"/>
  <c r="G47" i="114"/>
  <c r="S47"/>
  <c r="I48" i="88"/>
  <c r="H48"/>
  <c r="J47"/>
  <c r="J46"/>
  <c r="J45"/>
  <c r="J44"/>
  <c r="J43"/>
  <c r="J42"/>
  <c r="J41"/>
  <c r="J40"/>
  <c r="J39"/>
  <c r="J38"/>
  <c r="J37"/>
  <c r="J36"/>
  <c r="J35"/>
  <c r="J34"/>
  <c r="J33"/>
  <c r="J32"/>
  <c r="J31"/>
  <c r="J30"/>
  <c r="J29"/>
  <c r="J28"/>
  <c r="J27"/>
  <c r="J26"/>
  <c r="J25"/>
  <c r="J24"/>
  <c r="J23"/>
  <c r="J22"/>
  <c r="J21"/>
  <c r="J20"/>
  <c r="J19"/>
  <c r="J18"/>
  <c r="J17"/>
  <c r="J16"/>
  <c r="J15"/>
  <c r="J14"/>
  <c r="C48"/>
  <c r="D48"/>
  <c r="J48" l="1"/>
  <c r="C14" i="75" l="1"/>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D13"/>
  <c r="C13"/>
  <c r="I47"/>
  <c r="J47"/>
  <c r="K14"/>
  <c r="K15"/>
  <c r="K16"/>
  <c r="K17"/>
  <c r="K18"/>
  <c r="K19"/>
  <c r="K20"/>
  <c r="K21"/>
  <c r="K22"/>
  <c r="K23"/>
  <c r="K24"/>
  <c r="K25"/>
  <c r="K26"/>
  <c r="K27"/>
  <c r="K28"/>
  <c r="K29"/>
  <c r="K30"/>
  <c r="K31"/>
  <c r="K32"/>
  <c r="K33"/>
  <c r="K34"/>
  <c r="K35"/>
  <c r="K36"/>
  <c r="K37"/>
  <c r="K38"/>
  <c r="K39"/>
  <c r="K40"/>
  <c r="K41"/>
  <c r="K42"/>
  <c r="K43"/>
  <c r="K44"/>
  <c r="K45"/>
  <c r="K46"/>
  <c r="K13"/>
  <c r="F47"/>
  <c r="G47"/>
  <c r="H14"/>
  <c r="H15"/>
  <c r="H16"/>
  <c r="H17"/>
  <c r="H18"/>
  <c r="H19"/>
  <c r="H20"/>
  <c r="H21"/>
  <c r="H22"/>
  <c r="H23"/>
  <c r="H24"/>
  <c r="H25"/>
  <c r="H26"/>
  <c r="H27"/>
  <c r="H28"/>
  <c r="H29"/>
  <c r="H30"/>
  <c r="H31"/>
  <c r="H32"/>
  <c r="H33"/>
  <c r="H34"/>
  <c r="H35"/>
  <c r="H36"/>
  <c r="H37"/>
  <c r="H38"/>
  <c r="H39"/>
  <c r="H40"/>
  <c r="H41"/>
  <c r="H42"/>
  <c r="H43"/>
  <c r="H44"/>
  <c r="H45"/>
  <c r="H46"/>
  <c r="H13"/>
  <c r="C15" i="7"/>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47"/>
  <c r="D47"/>
  <c r="D14"/>
  <c r="C14"/>
  <c r="K15"/>
  <c r="K16"/>
  <c r="K17"/>
  <c r="K18"/>
  <c r="K19"/>
  <c r="K20"/>
  <c r="K21"/>
  <c r="K22"/>
  <c r="K23"/>
  <c r="K24"/>
  <c r="K25"/>
  <c r="K26"/>
  <c r="K27"/>
  <c r="K28"/>
  <c r="K29"/>
  <c r="K30"/>
  <c r="K31"/>
  <c r="K32"/>
  <c r="K33"/>
  <c r="K34"/>
  <c r="K35"/>
  <c r="K36"/>
  <c r="K37"/>
  <c r="K38"/>
  <c r="K39"/>
  <c r="K40"/>
  <c r="K41"/>
  <c r="K42"/>
  <c r="K43"/>
  <c r="K44"/>
  <c r="K45"/>
  <c r="K46"/>
  <c r="K47"/>
  <c r="K14"/>
  <c r="I48"/>
  <c r="J48"/>
  <c r="F48"/>
  <c r="G48"/>
  <c r="H15"/>
  <c r="H16"/>
  <c r="H17"/>
  <c r="H18"/>
  <c r="H19"/>
  <c r="H20"/>
  <c r="H21"/>
  <c r="H22"/>
  <c r="H23"/>
  <c r="H24"/>
  <c r="H25"/>
  <c r="H26"/>
  <c r="H27"/>
  <c r="H28"/>
  <c r="H29"/>
  <c r="H30"/>
  <c r="H31"/>
  <c r="H32"/>
  <c r="H33"/>
  <c r="H34"/>
  <c r="H35"/>
  <c r="H36"/>
  <c r="H37"/>
  <c r="H38"/>
  <c r="H39"/>
  <c r="H40"/>
  <c r="H41"/>
  <c r="H42"/>
  <c r="H43"/>
  <c r="H44"/>
  <c r="H45"/>
  <c r="H46"/>
  <c r="H47"/>
  <c r="H14"/>
  <c r="E43" l="1"/>
  <c r="E35"/>
  <c r="E27"/>
  <c r="E40" i="75"/>
  <c r="E36"/>
  <c r="E32"/>
  <c r="E46" i="7"/>
  <c r="E24" i="75"/>
  <c r="E20"/>
  <c r="H47"/>
  <c r="E30" i="7"/>
  <c r="E22"/>
  <c r="E45" i="75"/>
  <c r="E41"/>
  <c r="E29"/>
  <c r="E25"/>
  <c r="C47"/>
  <c r="E42"/>
  <c r="E26"/>
  <c r="C48" i="7"/>
  <c r="E19"/>
  <c r="E38"/>
  <c r="E36"/>
  <c r="E14"/>
  <c r="E39"/>
  <c r="E34"/>
  <c r="E23"/>
  <c r="E18"/>
  <c r="D47" i="75"/>
  <c r="E30"/>
  <c r="E23"/>
  <c r="E21"/>
  <c r="E19"/>
  <c r="E17"/>
  <c r="E47" i="7"/>
  <c r="E42"/>
  <c r="E31"/>
  <c r="E26"/>
  <c r="E15"/>
  <c r="E46" i="75"/>
  <c r="E39"/>
  <c r="E37"/>
  <c r="E35"/>
  <c r="E33"/>
  <c r="E16"/>
  <c r="E14"/>
  <c r="K47"/>
  <c r="E13"/>
  <c r="E38"/>
  <c r="E31"/>
  <c r="E22"/>
  <c r="E15"/>
  <c r="E43"/>
  <c r="E34"/>
  <c r="E27"/>
  <c r="E18"/>
  <c r="E44"/>
  <c r="E28"/>
  <c r="H48" i="7"/>
  <c r="K48"/>
  <c r="E16"/>
  <c r="D48"/>
  <c r="E45"/>
  <c r="E40"/>
  <c r="E37"/>
  <c r="E32"/>
  <c r="E29"/>
  <c r="E24"/>
  <c r="E21"/>
  <c r="E44"/>
  <c r="E41"/>
  <c r="E33"/>
  <c r="E28"/>
  <c r="E25"/>
  <c r="E20"/>
  <c r="E17"/>
  <c r="E48" l="1"/>
  <c r="E47" i="75"/>
  <c r="G14" i="86" l="1"/>
  <c r="G15"/>
  <c r="G16"/>
  <c r="G17"/>
  <c r="G18"/>
  <c r="G19"/>
  <c r="G20"/>
  <c r="G21"/>
  <c r="G22"/>
  <c r="G23"/>
  <c r="G24"/>
  <c r="G25"/>
  <c r="G26"/>
  <c r="G27"/>
  <c r="G28"/>
  <c r="G29"/>
  <c r="G30"/>
  <c r="G31"/>
  <c r="G32"/>
  <c r="G33"/>
  <c r="G34"/>
  <c r="G35"/>
  <c r="G36"/>
  <c r="G37"/>
  <c r="G38"/>
  <c r="G39"/>
  <c r="G40"/>
  <c r="G41"/>
  <c r="G42"/>
  <c r="G43"/>
  <c r="G44"/>
  <c r="G45"/>
  <c r="G46"/>
  <c r="G13"/>
  <c r="F14"/>
  <c r="F15"/>
  <c r="F16"/>
  <c r="F17"/>
  <c r="F18"/>
  <c r="F19"/>
  <c r="F20"/>
  <c r="F21"/>
  <c r="F22"/>
  <c r="F23"/>
  <c r="F24"/>
  <c r="F25"/>
  <c r="F26"/>
  <c r="F27"/>
  <c r="F28"/>
  <c r="F29"/>
  <c r="F30"/>
  <c r="F31"/>
  <c r="F32"/>
  <c r="F33"/>
  <c r="F34"/>
  <c r="F35"/>
  <c r="F36"/>
  <c r="F37"/>
  <c r="F38"/>
  <c r="F39"/>
  <c r="F40"/>
  <c r="F41"/>
  <c r="F42"/>
  <c r="F43"/>
  <c r="F44"/>
  <c r="F45"/>
  <c r="F46"/>
  <c r="F13"/>
  <c r="C14"/>
  <c r="C15"/>
  <c r="C16"/>
  <c r="C17"/>
  <c r="C18"/>
  <c r="C19"/>
  <c r="C20"/>
  <c r="C21"/>
  <c r="C22"/>
  <c r="C23"/>
  <c r="C24"/>
  <c r="C25"/>
  <c r="C26"/>
  <c r="C27"/>
  <c r="C28"/>
  <c r="C29"/>
  <c r="C30"/>
  <c r="C31"/>
  <c r="C32"/>
  <c r="C33"/>
  <c r="C34"/>
  <c r="C35"/>
  <c r="C36"/>
  <c r="C37"/>
  <c r="C38"/>
  <c r="C39"/>
  <c r="C40"/>
  <c r="C41"/>
  <c r="C42"/>
  <c r="C43"/>
  <c r="C44"/>
  <c r="C45"/>
  <c r="C46"/>
  <c r="C13"/>
  <c r="C47" l="1"/>
  <c r="F47"/>
  <c r="K45"/>
  <c r="J45"/>
  <c r="K41"/>
  <c r="J41"/>
  <c r="K37"/>
  <c r="J37"/>
  <c r="K33"/>
  <c r="J33"/>
  <c r="K29"/>
  <c r="J29"/>
  <c r="K25"/>
  <c r="J25"/>
  <c r="K21"/>
  <c r="J21"/>
  <c r="K17"/>
  <c r="J17"/>
  <c r="J44"/>
  <c r="K44"/>
  <c r="J40"/>
  <c r="K40"/>
  <c r="J36"/>
  <c r="K36"/>
  <c r="J32"/>
  <c r="K32"/>
  <c r="J28"/>
  <c r="K28"/>
  <c r="J24"/>
  <c r="K24"/>
  <c r="J20"/>
  <c r="K20"/>
  <c r="J16"/>
  <c r="K16"/>
  <c r="J13"/>
  <c r="K13"/>
  <c r="G47"/>
  <c r="J43"/>
  <c r="K43"/>
  <c r="J39"/>
  <c r="K39"/>
  <c r="J35"/>
  <c r="K35"/>
  <c r="J31"/>
  <c r="K31"/>
  <c r="J27"/>
  <c r="K27"/>
  <c r="J23"/>
  <c r="K23"/>
  <c r="J19"/>
  <c r="K19"/>
  <c r="J15"/>
  <c r="K15"/>
  <c r="J46"/>
  <c r="K46"/>
  <c r="J42"/>
  <c r="K42"/>
  <c r="J38"/>
  <c r="K38"/>
  <c r="J34"/>
  <c r="K34"/>
  <c r="J30"/>
  <c r="K30"/>
  <c r="J26"/>
  <c r="K26"/>
  <c r="J22"/>
  <c r="K22"/>
  <c r="J18"/>
  <c r="K18"/>
  <c r="J14"/>
  <c r="K14"/>
  <c r="L13" i="74"/>
  <c r="L14"/>
  <c r="L15"/>
  <c r="L16"/>
  <c r="L17"/>
  <c r="L18"/>
  <c r="L19"/>
  <c r="L20"/>
  <c r="L21"/>
  <c r="L22"/>
  <c r="L23"/>
  <c r="L24"/>
  <c r="L25"/>
  <c r="L26"/>
  <c r="L27"/>
  <c r="L28"/>
  <c r="L29"/>
  <c r="L30"/>
  <c r="L31"/>
  <c r="L32"/>
  <c r="L33"/>
  <c r="L34"/>
  <c r="L35"/>
  <c r="L36"/>
  <c r="L37"/>
  <c r="L38"/>
  <c r="L39"/>
  <c r="L40"/>
  <c r="L41"/>
  <c r="L42"/>
  <c r="L43"/>
  <c r="L44"/>
  <c r="L45"/>
  <c r="L12"/>
  <c r="G13"/>
  <c r="G14"/>
  <c r="G15"/>
  <c r="G16"/>
  <c r="G17"/>
  <c r="G18"/>
  <c r="G19"/>
  <c r="G20"/>
  <c r="G21"/>
  <c r="G22"/>
  <c r="G23"/>
  <c r="G24"/>
  <c r="G25"/>
  <c r="G26"/>
  <c r="G27"/>
  <c r="G28"/>
  <c r="G29"/>
  <c r="G30"/>
  <c r="G31"/>
  <c r="G32"/>
  <c r="G33"/>
  <c r="G34"/>
  <c r="G35"/>
  <c r="G36"/>
  <c r="G37"/>
  <c r="G38"/>
  <c r="G39"/>
  <c r="G40"/>
  <c r="G41"/>
  <c r="G42"/>
  <c r="G43"/>
  <c r="G44"/>
  <c r="G45"/>
  <c r="G12"/>
  <c r="G46" l="1"/>
  <c r="L46"/>
  <c r="K47" i="86"/>
  <c r="J47"/>
  <c r="L13" i="5" l="1"/>
  <c r="L14"/>
  <c r="L15"/>
  <c r="L16"/>
  <c r="L17"/>
  <c r="L18"/>
  <c r="L19"/>
  <c r="L20"/>
  <c r="L21"/>
  <c r="L22"/>
  <c r="L23"/>
  <c r="L24"/>
  <c r="L25"/>
  <c r="L26"/>
  <c r="L27"/>
  <c r="L28"/>
  <c r="L29"/>
  <c r="L30"/>
  <c r="L31"/>
  <c r="L32"/>
  <c r="L33"/>
  <c r="L34"/>
  <c r="L35"/>
  <c r="L36"/>
  <c r="L37"/>
  <c r="L38"/>
  <c r="L39"/>
  <c r="L40"/>
  <c r="L41"/>
  <c r="L42"/>
  <c r="L43"/>
  <c r="L44"/>
  <c r="L45"/>
  <c r="L12"/>
  <c r="G13"/>
  <c r="G14"/>
  <c r="G15"/>
  <c r="G16"/>
  <c r="G17"/>
  <c r="G18"/>
  <c r="G19"/>
  <c r="G20"/>
  <c r="G21"/>
  <c r="G22"/>
  <c r="G23"/>
  <c r="G24"/>
  <c r="G25"/>
  <c r="G26"/>
  <c r="G27"/>
  <c r="G28"/>
  <c r="G29"/>
  <c r="G30"/>
  <c r="G31"/>
  <c r="G32"/>
  <c r="G33"/>
  <c r="G34"/>
  <c r="G35"/>
  <c r="G36"/>
  <c r="G37"/>
  <c r="G38"/>
  <c r="G39"/>
  <c r="G40"/>
  <c r="G41"/>
  <c r="G42"/>
  <c r="G43"/>
  <c r="G44"/>
  <c r="G45"/>
  <c r="G12"/>
  <c r="L46" l="1"/>
  <c r="G46"/>
  <c r="J13" i="112"/>
  <c r="J14"/>
  <c r="J15"/>
  <c r="J16"/>
  <c r="J17"/>
  <c r="J18"/>
  <c r="J19"/>
  <c r="J20"/>
  <c r="J21"/>
  <c r="J22"/>
  <c r="J23"/>
  <c r="J24"/>
  <c r="J25"/>
  <c r="J26"/>
  <c r="J27"/>
  <c r="J28"/>
  <c r="J29"/>
  <c r="J30"/>
  <c r="J31"/>
  <c r="J32"/>
  <c r="J33"/>
  <c r="J34"/>
  <c r="J35"/>
  <c r="J36"/>
  <c r="J37"/>
  <c r="J38"/>
  <c r="J39"/>
  <c r="J40"/>
  <c r="J41"/>
  <c r="J42"/>
  <c r="J43"/>
  <c r="J44"/>
  <c r="J45"/>
  <c r="J12"/>
  <c r="H46"/>
  <c r="D46"/>
  <c r="F46" s="1"/>
  <c r="F13"/>
  <c r="F14"/>
  <c r="F15"/>
  <c r="F16"/>
  <c r="F17"/>
  <c r="F18"/>
  <c r="F19"/>
  <c r="F20"/>
  <c r="F21"/>
  <c r="F22"/>
  <c r="F23"/>
  <c r="F24"/>
  <c r="F25"/>
  <c r="F26"/>
  <c r="F27"/>
  <c r="F28"/>
  <c r="F29"/>
  <c r="F30"/>
  <c r="F31"/>
  <c r="F32"/>
  <c r="F33"/>
  <c r="F34"/>
  <c r="F35"/>
  <c r="F36"/>
  <c r="F37"/>
  <c r="F38"/>
  <c r="F39"/>
  <c r="F40"/>
  <c r="F41"/>
  <c r="F42"/>
  <c r="F43"/>
  <c r="F44"/>
  <c r="F45"/>
  <c r="F12"/>
  <c r="J46" l="1"/>
  <c r="J13" i="113"/>
  <c r="J14"/>
  <c r="J15"/>
  <c r="J16"/>
  <c r="J17"/>
  <c r="J18"/>
  <c r="J19"/>
  <c r="J20"/>
  <c r="J21"/>
  <c r="J22"/>
  <c r="J23"/>
  <c r="J24"/>
  <c r="J25"/>
  <c r="J26"/>
  <c r="J27"/>
  <c r="J28"/>
  <c r="J29"/>
  <c r="J30"/>
  <c r="J31"/>
  <c r="J32"/>
  <c r="J33"/>
  <c r="J34"/>
  <c r="J35"/>
  <c r="J36"/>
  <c r="J37"/>
  <c r="J38"/>
  <c r="J39"/>
  <c r="J40"/>
  <c r="J41"/>
  <c r="J42"/>
  <c r="J43"/>
  <c r="J44"/>
  <c r="J45"/>
  <c r="J12"/>
  <c r="G46"/>
  <c r="H46"/>
  <c r="D46"/>
  <c r="F13"/>
  <c r="F14"/>
  <c r="F15"/>
  <c r="F16"/>
  <c r="F17"/>
  <c r="F18"/>
  <c r="F19"/>
  <c r="F20"/>
  <c r="F21"/>
  <c r="F22"/>
  <c r="F23"/>
  <c r="F24"/>
  <c r="F25"/>
  <c r="F26"/>
  <c r="F27"/>
  <c r="F28"/>
  <c r="F29"/>
  <c r="F30"/>
  <c r="F31"/>
  <c r="F32"/>
  <c r="F33"/>
  <c r="F34"/>
  <c r="F35"/>
  <c r="F36"/>
  <c r="F37"/>
  <c r="F38"/>
  <c r="F39"/>
  <c r="F40"/>
  <c r="F41"/>
  <c r="F42"/>
  <c r="F43"/>
  <c r="F44"/>
  <c r="F45"/>
  <c r="F12"/>
  <c r="J13" i="127"/>
  <c r="J14"/>
  <c r="J15"/>
  <c r="J16"/>
  <c r="J17"/>
  <c r="J18"/>
  <c r="J19"/>
  <c r="J20"/>
  <c r="J21"/>
  <c r="J22"/>
  <c r="J23"/>
  <c r="J24"/>
  <c r="J25"/>
  <c r="J26"/>
  <c r="J27"/>
  <c r="J28"/>
  <c r="J29"/>
  <c r="J30"/>
  <c r="J31"/>
  <c r="J32"/>
  <c r="J33"/>
  <c r="J34"/>
  <c r="J35"/>
  <c r="J36"/>
  <c r="J37"/>
  <c r="J38"/>
  <c r="J39"/>
  <c r="J40"/>
  <c r="J42"/>
  <c r="J43"/>
  <c r="J44"/>
  <c r="J45"/>
  <c r="J12"/>
  <c r="H46"/>
  <c r="G46"/>
  <c r="D46"/>
  <c r="C46"/>
  <c r="F13"/>
  <c r="F14"/>
  <c r="F15"/>
  <c r="F16"/>
  <c r="F17"/>
  <c r="F18"/>
  <c r="F19"/>
  <c r="F20"/>
  <c r="F21"/>
  <c r="F22"/>
  <c r="F23"/>
  <c r="F24"/>
  <c r="F25"/>
  <c r="F26"/>
  <c r="F27"/>
  <c r="F28"/>
  <c r="F29"/>
  <c r="F30"/>
  <c r="F31"/>
  <c r="F32"/>
  <c r="F33"/>
  <c r="F34"/>
  <c r="F35"/>
  <c r="F36"/>
  <c r="F37"/>
  <c r="F38"/>
  <c r="F39"/>
  <c r="F40"/>
  <c r="F41"/>
  <c r="F42"/>
  <c r="F43"/>
  <c r="F44"/>
  <c r="F45"/>
  <c r="F12"/>
  <c r="G46" i="111"/>
  <c r="F13"/>
  <c r="F14"/>
  <c r="F15"/>
  <c r="F16"/>
  <c r="F17"/>
  <c r="F18"/>
  <c r="F19"/>
  <c r="F20"/>
  <c r="F21"/>
  <c r="F22"/>
  <c r="F23"/>
  <c r="F24"/>
  <c r="F25"/>
  <c r="F26"/>
  <c r="F27"/>
  <c r="F28"/>
  <c r="F29"/>
  <c r="F30"/>
  <c r="F31"/>
  <c r="F32"/>
  <c r="F33"/>
  <c r="F34"/>
  <c r="F35"/>
  <c r="F36"/>
  <c r="F37"/>
  <c r="F38"/>
  <c r="F39"/>
  <c r="F40"/>
  <c r="F41"/>
  <c r="F42"/>
  <c r="F43"/>
  <c r="F44"/>
  <c r="F45"/>
  <c r="F12"/>
  <c r="D46"/>
  <c r="C46"/>
  <c r="J13" i="4"/>
  <c r="J14"/>
  <c r="J15"/>
  <c r="J16"/>
  <c r="J17"/>
  <c r="J18"/>
  <c r="J19"/>
  <c r="J20"/>
  <c r="J21"/>
  <c r="J22"/>
  <c r="J23"/>
  <c r="J24"/>
  <c r="J25"/>
  <c r="J26"/>
  <c r="J27"/>
  <c r="J28"/>
  <c r="J29"/>
  <c r="J30"/>
  <c r="J31"/>
  <c r="J32"/>
  <c r="J33"/>
  <c r="J34"/>
  <c r="J35"/>
  <c r="J36"/>
  <c r="J37"/>
  <c r="J38"/>
  <c r="J39"/>
  <c r="J40"/>
  <c r="J41"/>
  <c r="J42"/>
  <c r="J43"/>
  <c r="J44"/>
  <c r="J45"/>
  <c r="J12"/>
  <c r="H46"/>
  <c r="G46"/>
  <c r="F13"/>
  <c r="F14"/>
  <c r="F15"/>
  <c r="F16"/>
  <c r="F17"/>
  <c r="F18"/>
  <c r="F19"/>
  <c r="F20"/>
  <c r="F21"/>
  <c r="F22"/>
  <c r="F23"/>
  <c r="F24"/>
  <c r="F25"/>
  <c r="F26"/>
  <c r="F27"/>
  <c r="F28"/>
  <c r="F29"/>
  <c r="F30"/>
  <c r="F31"/>
  <c r="F32"/>
  <c r="F33"/>
  <c r="F34"/>
  <c r="F35"/>
  <c r="F36"/>
  <c r="F37"/>
  <c r="F38"/>
  <c r="F39"/>
  <c r="F40"/>
  <c r="F41"/>
  <c r="F42"/>
  <c r="F43"/>
  <c r="F44"/>
  <c r="F45"/>
  <c r="F12"/>
  <c r="D46"/>
  <c r="C46"/>
  <c r="F46" i="113" l="1"/>
  <c r="F46" i="111"/>
  <c r="J46" i="113"/>
  <c r="F46" i="127"/>
  <c r="J46"/>
  <c r="J46" i="4"/>
  <c r="F46"/>
  <c r="H36" i="47" l="1"/>
  <c r="I12"/>
  <c r="I43"/>
  <c r="I41"/>
  <c r="H11"/>
  <c r="H40" i="60"/>
  <c r="K12" i="47"/>
  <c r="K13"/>
  <c r="K14"/>
  <c r="K15"/>
  <c r="K16"/>
  <c r="K17"/>
  <c r="K18"/>
  <c r="K19"/>
  <c r="K20"/>
  <c r="K21"/>
  <c r="K22"/>
  <c r="K23"/>
  <c r="K24"/>
  <c r="K25"/>
  <c r="K26"/>
  <c r="K27"/>
  <c r="K28"/>
  <c r="K29"/>
  <c r="K30"/>
  <c r="K31"/>
  <c r="K32"/>
  <c r="K33"/>
  <c r="K34"/>
  <c r="K35"/>
  <c r="K36"/>
  <c r="K37"/>
  <c r="K38"/>
  <c r="K39"/>
  <c r="K40"/>
  <c r="K41"/>
  <c r="K42"/>
  <c r="K43"/>
  <c r="K44"/>
  <c r="K11"/>
  <c r="J12"/>
  <c r="J13"/>
  <c r="J14"/>
  <c r="J15"/>
  <c r="J16"/>
  <c r="J17"/>
  <c r="J18"/>
  <c r="J19"/>
  <c r="J20"/>
  <c r="J21"/>
  <c r="J22"/>
  <c r="J23"/>
  <c r="J24"/>
  <c r="J25"/>
  <c r="J26"/>
  <c r="J27"/>
  <c r="J28"/>
  <c r="J29"/>
  <c r="J30"/>
  <c r="J31"/>
  <c r="J32"/>
  <c r="J33"/>
  <c r="J34"/>
  <c r="J35"/>
  <c r="J36"/>
  <c r="J37"/>
  <c r="J38"/>
  <c r="J39"/>
  <c r="J40"/>
  <c r="J41"/>
  <c r="J42"/>
  <c r="J43"/>
  <c r="J44"/>
  <c r="J11"/>
  <c r="I13"/>
  <c r="I14"/>
  <c r="I15"/>
  <c r="I16"/>
  <c r="I17"/>
  <c r="I18"/>
  <c r="I19"/>
  <c r="I20"/>
  <c r="I21"/>
  <c r="I22"/>
  <c r="I23"/>
  <c r="I24"/>
  <c r="I25"/>
  <c r="I26"/>
  <c r="I27"/>
  <c r="I28"/>
  <c r="I29"/>
  <c r="I30"/>
  <c r="I31"/>
  <c r="I32"/>
  <c r="I33"/>
  <c r="I34"/>
  <c r="I35"/>
  <c r="I36"/>
  <c r="I37"/>
  <c r="I39"/>
  <c r="I40"/>
  <c r="I42"/>
  <c r="I44"/>
  <c r="I11"/>
  <c r="H13"/>
  <c r="H14"/>
  <c r="H15"/>
  <c r="H16"/>
  <c r="H17"/>
  <c r="H18"/>
  <c r="H19"/>
  <c r="H20"/>
  <c r="H21"/>
  <c r="H22"/>
  <c r="H23"/>
  <c r="H24"/>
  <c r="H25"/>
  <c r="H26"/>
  <c r="H27"/>
  <c r="H28"/>
  <c r="H29"/>
  <c r="H30"/>
  <c r="H31"/>
  <c r="H32"/>
  <c r="H33"/>
  <c r="H34"/>
  <c r="H35"/>
  <c r="H37"/>
  <c r="H39"/>
  <c r="H40"/>
  <c r="H42"/>
  <c r="H43"/>
  <c r="H44"/>
  <c r="O45"/>
  <c r="P45"/>
  <c r="Q13"/>
  <c r="Q14"/>
  <c r="Q15"/>
  <c r="Q16"/>
  <c r="Q17"/>
  <c r="Q18"/>
  <c r="Q19"/>
  <c r="Q20"/>
  <c r="Q21"/>
  <c r="Q22"/>
  <c r="Q23"/>
  <c r="Q24"/>
  <c r="Q25"/>
  <c r="Q26"/>
  <c r="Q27"/>
  <c r="Q28"/>
  <c r="Q29"/>
  <c r="Q30"/>
  <c r="Q31"/>
  <c r="Q32"/>
  <c r="Q33"/>
  <c r="Q34"/>
  <c r="Q35"/>
  <c r="Q37"/>
  <c r="Q39"/>
  <c r="Q40"/>
  <c r="Q42"/>
  <c r="Q44"/>
  <c r="D45"/>
  <c r="E45"/>
  <c r="F45"/>
  <c r="C45"/>
  <c r="H11" i="60"/>
  <c r="K12"/>
  <c r="K13"/>
  <c r="K14"/>
  <c r="K15"/>
  <c r="K16"/>
  <c r="K17"/>
  <c r="K18"/>
  <c r="K19"/>
  <c r="K20"/>
  <c r="K21"/>
  <c r="K22"/>
  <c r="K23"/>
  <c r="K24"/>
  <c r="K25"/>
  <c r="K26"/>
  <c r="K27"/>
  <c r="K28"/>
  <c r="K29"/>
  <c r="K30"/>
  <c r="K31"/>
  <c r="K32"/>
  <c r="K33"/>
  <c r="K34"/>
  <c r="K35"/>
  <c r="K36"/>
  <c r="K37"/>
  <c r="K38"/>
  <c r="K39"/>
  <c r="K40"/>
  <c r="K41"/>
  <c r="K42"/>
  <c r="K43"/>
  <c r="K44"/>
  <c r="K11"/>
  <c r="J45"/>
  <c r="I12"/>
  <c r="I13"/>
  <c r="I14"/>
  <c r="I15"/>
  <c r="I16"/>
  <c r="I17"/>
  <c r="I18"/>
  <c r="I19"/>
  <c r="I20"/>
  <c r="I21"/>
  <c r="I22"/>
  <c r="I23"/>
  <c r="I24"/>
  <c r="I25"/>
  <c r="I26"/>
  <c r="I27"/>
  <c r="I28"/>
  <c r="I29"/>
  <c r="I30"/>
  <c r="I31"/>
  <c r="I32"/>
  <c r="I33"/>
  <c r="I34"/>
  <c r="I35"/>
  <c r="I36"/>
  <c r="I37"/>
  <c r="I38"/>
  <c r="I39"/>
  <c r="I40"/>
  <c r="I41"/>
  <c r="I42"/>
  <c r="I43"/>
  <c r="I44"/>
  <c r="I11"/>
  <c r="H12"/>
  <c r="H13"/>
  <c r="H14"/>
  <c r="H15"/>
  <c r="H16"/>
  <c r="H17"/>
  <c r="H18"/>
  <c r="H19"/>
  <c r="H20"/>
  <c r="H21"/>
  <c r="H23"/>
  <c r="H24"/>
  <c r="H25"/>
  <c r="H26"/>
  <c r="H27"/>
  <c r="H28"/>
  <c r="H29"/>
  <c r="H30"/>
  <c r="H31"/>
  <c r="H32"/>
  <c r="H33"/>
  <c r="H34"/>
  <c r="H35"/>
  <c r="H36"/>
  <c r="H37"/>
  <c r="H38"/>
  <c r="H39"/>
  <c r="H41"/>
  <c r="H42"/>
  <c r="H43"/>
  <c r="H44"/>
  <c r="Q12"/>
  <c r="Q13"/>
  <c r="Q14"/>
  <c r="Q15"/>
  <c r="Q16"/>
  <c r="Q17"/>
  <c r="Q18"/>
  <c r="Q19"/>
  <c r="Q20"/>
  <c r="Q21"/>
  <c r="Q23"/>
  <c r="Q24"/>
  <c r="Q25"/>
  <c r="Q26"/>
  <c r="Q27"/>
  <c r="Q28"/>
  <c r="Q29"/>
  <c r="Q30"/>
  <c r="Q31"/>
  <c r="Q32"/>
  <c r="Q33"/>
  <c r="Q34"/>
  <c r="Q35"/>
  <c r="Q36"/>
  <c r="Q37"/>
  <c r="Q38"/>
  <c r="Q39"/>
  <c r="Q41"/>
  <c r="Q42"/>
  <c r="Q43"/>
  <c r="Q44"/>
  <c r="O45"/>
  <c r="P45"/>
  <c r="L11" i="47" l="1"/>
  <c r="L43" i="60"/>
  <c r="J41" i="111"/>
  <c r="P42" i="75"/>
  <c r="J27" i="111"/>
  <c r="P28" i="75"/>
  <c r="J40" i="111"/>
  <c r="P41" i="75"/>
  <c r="J34" i="111"/>
  <c r="P35" i="75"/>
  <c r="J30" i="111"/>
  <c r="P31" i="75"/>
  <c r="J26" i="111"/>
  <c r="P27" i="75"/>
  <c r="J22" i="111"/>
  <c r="P23" i="75"/>
  <c r="J18" i="111"/>
  <c r="P19" i="75"/>
  <c r="J14" i="111"/>
  <c r="P15" i="75"/>
  <c r="J35" i="111"/>
  <c r="P36" i="75"/>
  <c r="J19" i="111"/>
  <c r="P20" i="75"/>
  <c r="J45" i="111"/>
  <c r="P46" i="75"/>
  <c r="J38" i="111"/>
  <c r="P39" i="75"/>
  <c r="J33" i="111"/>
  <c r="P34" i="75"/>
  <c r="J29" i="111"/>
  <c r="P30" i="75"/>
  <c r="J25" i="111"/>
  <c r="P26" i="75"/>
  <c r="J21" i="111"/>
  <c r="P22" i="75"/>
  <c r="J17" i="111"/>
  <c r="P18" i="75"/>
  <c r="J31" i="111"/>
  <c r="P32" i="75"/>
  <c r="J23" i="111"/>
  <c r="P24" i="75"/>
  <c r="J15" i="111"/>
  <c r="P16" i="75"/>
  <c r="J43" i="111"/>
  <c r="P44" i="75"/>
  <c r="J36" i="111"/>
  <c r="P37" i="75"/>
  <c r="J32" i="111"/>
  <c r="P33" i="75"/>
  <c r="J28" i="111"/>
  <c r="P29" i="75"/>
  <c r="J24" i="111"/>
  <c r="P25" i="75"/>
  <c r="J20" i="111"/>
  <c r="P21" i="75"/>
  <c r="J16" i="111"/>
  <c r="P17" i="75"/>
  <c r="P41" i="7"/>
  <c r="P33"/>
  <c r="P25"/>
  <c r="P21"/>
  <c r="P17"/>
  <c r="P45"/>
  <c r="P36"/>
  <c r="P28"/>
  <c r="P20"/>
  <c r="P16"/>
  <c r="P44"/>
  <c r="P35"/>
  <c r="P23"/>
  <c r="P15"/>
  <c r="P46"/>
  <c r="P37"/>
  <c r="P29"/>
  <c r="P40"/>
  <c r="P32"/>
  <c r="P24"/>
  <c r="P39"/>
  <c r="P31"/>
  <c r="P27"/>
  <c r="P19"/>
  <c r="P47"/>
  <c r="P42"/>
  <c r="P38"/>
  <c r="P34"/>
  <c r="P30"/>
  <c r="P26"/>
  <c r="P22"/>
  <c r="P18"/>
  <c r="L39" i="60"/>
  <c r="L35"/>
  <c r="L31"/>
  <c r="L27"/>
  <c r="L23"/>
  <c r="L15"/>
  <c r="Q11"/>
  <c r="L26"/>
  <c r="Q36" i="47"/>
  <c r="L18" i="60"/>
  <c r="L14"/>
  <c r="L38"/>
  <c r="L34"/>
  <c r="L30"/>
  <c r="L42"/>
  <c r="Q40"/>
  <c r="L41"/>
  <c r="L33"/>
  <c r="L29"/>
  <c r="L25"/>
  <c r="L21"/>
  <c r="L17"/>
  <c r="L13"/>
  <c r="N45"/>
  <c r="L44"/>
  <c r="L36"/>
  <c r="L32"/>
  <c r="L28"/>
  <c r="L24"/>
  <c r="L20"/>
  <c r="L16"/>
  <c r="L12"/>
  <c r="Q11" i="47"/>
  <c r="Q41"/>
  <c r="Q12"/>
  <c r="H41"/>
  <c r="H12"/>
  <c r="L16"/>
  <c r="Q38"/>
  <c r="N45"/>
  <c r="H38"/>
  <c r="Q43"/>
  <c r="M45"/>
  <c r="L37"/>
  <c r="L33"/>
  <c r="L29"/>
  <c r="L25"/>
  <c r="L21"/>
  <c r="J45"/>
  <c r="K45"/>
  <c r="L44"/>
  <c r="L36"/>
  <c r="L32"/>
  <c r="L28"/>
  <c r="L24"/>
  <c r="L20"/>
  <c r="L40"/>
  <c r="L17"/>
  <c r="L13"/>
  <c r="L40" i="60"/>
  <c r="L37"/>
  <c r="L19"/>
  <c r="L43" i="47"/>
  <c r="L39"/>
  <c r="L35"/>
  <c r="L31"/>
  <c r="L27"/>
  <c r="L23"/>
  <c r="L19"/>
  <c r="L15"/>
  <c r="L42"/>
  <c r="L34"/>
  <c r="L30"/>
  <c r="L26"/>
  <c r="L22"/>
  <c r="L14"/>
  <c r="G45"/>
  <c r="F49" i="60" s="1"/>
  <c r="I45" i="47"/>
  <c r="L18"/>
  <c r="I45" i="60"/>
  <c r="L11"/>
  <c r="K45"/>
  <c r="J39" i="111" l="1"/>
  <c r="P40" i="75"/>
  <c r="N17"/>
  <c r="O17"/>
  <c r="Q17" s="1"/>
  <c r="N33"/>
  <c r="O33"/>
  <c r="Q33" s="1"/>
  <c r="J12" i="111"/>
  <c r="O29" i="75"/>
  <c r="Q29" s="1"/>
  <c r="N29"/>
  <c r="N24"/>
  <c r="O24"/>
  <c r="Q24" s="1"/>
  <c r="O22"/>
  <c r="Q22" s="1"/>
  <c r="N22"/>
  <c r="O39"/>
  <c r="Q39" s="1"/>
  <c r="N39"/>
  <c r="O15"/>
  <c r="Q15" s="1"/>
  <c r="N15"/>
  <c r="N31"/>
  <c r="O31"/>
  <c r="Q31" s="1"/>
  <c r="O42"/>
  <c r="Q42" s="1"/>
  <c r="N42"/>
  <c r="J13" i="111"/>
  <c r="P14" i="75"/>
  <c r="O21"/>
  <c r="Q21" s="1"/>
  <c r="N21"/>
  <c r="J44" i="111"/>
  <c r="P45" i="75"/>
  <c r="J42" i="111"/>
  <c r="P43" i="75"/>
  <c r="N32"/>
  <c r="O32"/>
  <c r="Q32" s="1"/>
  <c r="O26"/>
  <c r="Q26" s="1"/>
  <c r="N26"/>
  <c r="O46"/>
  <c r="Q46" s="1"/>
  <c r="N46"/>
  <c r="N20"/>
  <c r="O20"/>
  <c r="Q20" s="1"/>
  <c r="O19"/>
  <c r="Q19" s="1"/>
  <c r="N19"/>
  <c r="O35"/>
  <c r="Q35" s="1"/>
  <c r="N35"/>
  <c r="J37" i="111"/>
  <c r="P38" i="75"/>
  <c r="N25"/>
  <c r="O25"/>
  <c r="Q25" s="1"/>
  <c r="N16"/>
  <c r="O16"/>
  <c r="Q16" s="1"/>
  <c r="O18"/>
  <c r="Q18" s="1"/>
  <c r="N18"/>
  <c r="O34"/>
  <c r="Q34" s="1"/>
  <c r="N34"/>
  <c r="O27"/>
  <c r="Q27" s="1"/>
  <c r="N27"/>
  <c r="O37"/>
  <c r="Q37" s="1"/>
  <c r="N37"/>
  <c r="N44"/>
  <c r="O44"/>
  <c r="Q44" s="1"/>
  <c r="O30"/>
  <c r="Q30" s="1"/>
  <c r="N30"/>
  <c r="N36"/>
  <c r="O36"/>
  <c r="Q36" s="1"/>
  <c r="O23"/>
  <c r="Q23" s="1"/>
  <c r="N23"/>
  <c r="N41"/>
  <c r="O41"/>
  <c r="Q41" s="1"/>
  <c r="N28"/>
  <c r="O28"/>
  <c r="Q28" s="1"/>
  <c r="O19" i="7"/>
  <c r="Q19" s="1"/>
  <c r="N19"/>
  <c r="O15"/>
  <c r="Q15" s="1"/>
  <c r="N15"/>
  <c r="O16"/>
  <c r="Q16" s="1"/>
  <c r="N16"/>
  <c r="O28"/>
  <c r="Q28" s="1"/>
  <c r="N28"/>
  <c r="N18"/>
  <c r="O18"/>
  <c r="Q18" s="1"/>
  <c r="N26"/>
  <c r="O26"/>
  <c r="Q26" s="1"/>
  <c r="O45"/>
  <c r="Q45" s="1"/>
  <c r="N45"/>
  <c r="O33"/>
  <c r="Q33" s="1"/>
  <c r="N33"/>
  <c r="P43"/>
  <c r="O47"/>
  <c r="Q47" s="1"/>
  <c r="N47"/>
  <c r="O27"/>
  <c r="Q27" s="1"/>
  <c r="N27"/>
  <c r="N39"/>
  <c r="O39"/>
  <c r="Q39" s="1"/>
  <c r="O32"/>
  <c r="Q32" s="1"/>
  <c r="N32"/>
  <c r="N23"/>
  <c r="O23"/>
  <c r="Q23" s="1"/>
  <c r="O20"/>
  <c r="Q20" s="1"/>
  <c r="N20"/>
  <c r="O36"/>
  <c r="Q36" s="1"/>
  <c r="N36"/>
  <c r="N31"/>
  <c r="O31"/>
  <c r="Q31" s="1"/>
  <c r="O24"/>
  <c r="Q24" s="1"/>
  <c r="N24"/>
  <c r="O40"/>
  <c r="Q40" s="1"/>
  <c r="N40"/>
  <c r="O35"/>
  <c r="Q35" s="1"/>
  <c r="N35"/>
  <c r="N34"/>
  <c r="O34"/>
  <c r="Q34" s="1"/>
  <c r="N42"/>
  <c r="O42"/>
  <c r="Q42" s="1"/>
  <c r="O37"/>
  <c r="Q37" s="1"/>
  <c r="N37"/>
  <c r="O21"/>
  <c r="Q21" s="1"/>
  <c r="N21"/>
  <c r="N22"/>
  <c r="O22"/>
  <c r="Q22" s="1"/>
  <c r="N30"/>
  <c r="O30"/>
  <c r="Q30" s="1"/>
  <c r="N38"/>
  <c r="O38"/>
  <c r="Q38" s="1"/>
  <c r="O29"/>
  <c r="Q29" s="1"/>
  <c r="N29"/>
  <c r="N46"/>
  <c r="O46"/>
  <c r="Q46" s="1"/>
  <c r="O44"/>
  <c r="Q44" s="1"/>
  <c r="N44"/>
  <c r="O17"/>
  <c r="Q17" s="1"/>
  <c r="N17"/>
  <c r="O25"/>
  <c r="Q25" s="1"/>
  <c r="N25"/>
  <c r="O41"/>
  <c r="Q41" s="1"/>
  <c r="N41"/>
  <c r="L12" i="47"/>
  <c r="L41"/>
  <c r="Q45"/>
  <c r="L38"/>
  <c r="H45"/>
  <c r="J46" i="111" l="1"/>
  <c r="H46"/>
  <c r="O45" i="75"/>
  <c r="Q45" s="1"/>
  <c r="N45"/>
  <c r="O43"/>
  <c r="Q43" s="1"/>
  <c r="N43"/>
  <c r="O14"/>
  <c r="Q14" s="1"/>
  <c r="N14"/>
  <c r="O38"/>
  <c r="Q38" s="1"/>
  <c r="N38"/>
  <c r="P13"/>
  <c r="P47" s="1"/>
  <c r="M47"/>
  <c r="N40"/>
  <c r="O40"/>
  <c r="Q40" s="1"/>
  <c r="L47"/>
  <c r="N13"/>
  <c r="O13"/>
  <c r="N43" i="7"/>
  <c r="O43"/>
  <c r="Q43" s="1"/>
  <c r="L48"/>
  <c r="O14"/>
  <c r="N14"/>
  <c r="N48" s="1"/>
  <c r="P14"/>
  <c r="P48" s="1"/>
  <c r="M48"/>
  <c r="L45" i="47"/>
  <c r="Q13" i="75" l="1"/>
  <c r="Q47" s="1"/>
  <c r="O47"/>
  <c r="N47"/>
  <c r="Q14" i="7"/>
  <c r="Q48" s="1"/>
  <c r="O48"/>
  <c r="H45" i="59"/>
  <c r="I45"/>
  <c r="J45"/>
  <c r="K45"/>
  <c r="H45" i="58"/>
  <c r="I45"/>
  <c r="J45"/>
  <c r="K45"/>
  <c r="D43" i="100"/>
  <c r="E43"/>
  <c r="C43"/>
  <c r="F43" l="1"/>
  <c r="M45" i="59"/>
  <c r="G43" i="100"/>
  <c r="L45" i="59"/>
  <c r="L45" i="58"/>
  <c r="M46" i="1"/>
  <c r="P16" i="99"/>
  <c r="T16" s="1"/>
  <c r="Q16"/>
  <c r="U16" s="1"/>
  <c r="R16"/>
  <c r="V16" s="1"/>
  <c r="P17"/>
  <c r="T17" s="1"/>
  <c r="Q17"/>
  <c r="U17" s="1"/>
  <c r="R17"/>
  <c r="V17" s="1"/>
  <c r="P18"/>
  <c r="T18" s="1"/>
  <c r="Q18"/>
  <c r="U18" s="1"/>
  <c r="R18"/>
  <c r="V18" s="1"/>
  <c r="Q15"/>
  <c r="U15" s="1"/>
  <c r="R15"/>
  <c r="V15" s="1"/>
  <c r="T15"/>
  <c r="H26" i="96"/>
  <c r="I26"/>
  <c r="K26"/>
  <c r="L26"/>
  <c r="M26"/>
  <c r="O26"/>
  <c r="P26"/>
  <c r="Q26"/>
  <c r="G26"/>
  <c r="R25"/>
  <c r="R24"/>
  <c r="N25"/>
  <c r="N24"/>
  <c r="J25"/>
  <c r="J24"/>
  <c r="F26"/>
  <c r="D25"/>
  <c r="T25" s="1"/>
  <c r="C25"/>
  <c r="S25" s="1"/>
  <c r="D24"/>
  <c r="T24" s="1"/>
  <c r="C24"/>
  <c r="L17"/>
  <c r="K17"/>
  <c r="H17"/>
  <c r="H18"/>
  <c r="H19"/>
  <c r="H20"/>
  <c r="H16"/>
  <c r="G17"/>
  <c r="G18"/>
  <c r="G19"/>
  <c r="G20"/>
  <c r="G16"/>
  <c r="N21"/>
  <c r="J21"/>
  <c r="D17"/>
  <c r="D18"/>
  <c r="D19"/>
  <c r="T19" s="1"/>
  <c r="D20"/>
  <c r="D16"/>
  <c r="T16" s="1"/>
  <c r="C17"/>
  <c r="C18"/>
  <c r="S18" s="1"/>
  <c r="C19"/>
  <c r="S19" s="1"/>
  <c r="C20"/>
  <c r="S20" s="1"/>
  <c r="C16"/>
  <c r="F21"/>
  <c r="J26" l="1"/>
  <c r="J27" s="1"/>
  <c r="R26"/>
  <c r="M45" i="58"/>
  <c r="L21" i="96"/>
  <c r="L27" s="1"/>
  <c r="T18"/>
  <c r="K21"/>
  <c r="K27" s="1"/>
  <c r="C21"/>
  <c r="G21"/>
  <c r="G27" s="1"/>
  <c r="S17"/>
  <c r="T26"/>
  <c r="F27"/>
  <c r="E20"/>
  <c r="I20"/>
  <c r="T17"/>
  <c r="C26"/>
  <c r="E25"/>
  <c r="U25" s="1"/>
  <c r="V25" s="1"/>
  <c r="N26"/>
  <c r="N27" s="1"/>
  <c r="O21"/>
  <c r="O27" s="1"/>
  <c r="E19"/>
  <c r="I19"/>
  <c r="S16"/>
  <c r="E24"/>
  <c r="S24"/>
  <c r="D21"/>
  <c r="E18"/>
  <c r="H21"/>
  <c r="H27" s="1"/>
  <c r="I18"/>
  <c r="D26"/>
  <c r="E16"/>
  <c r="E17"/>
  <c r="I16"/>
  <c r="I17"/>
  <c r="M17"/>
  <c r="P21" l="1"/>
  <c r="P27" s="1"/>
  <c r="T20"/>
  <c r="T21" s="1"/>
  <c r="T27" s="1"/>
  <c r="U20"/>
  <c r="C27"/>
  <c r="U18"/>
  <c r="D27"/>
  <c r="S21"/>
  <c r="S26"/>
  <c r="U19"/>
  <c r="I21"/>
  <c r="I27" s="1"/>
  <c r="U16"/>
  <c r="M21"/>
  <c r="M27" s="1"/>
  <c r="E21"/>
  <c r="U24"/>
  <c r="U26" s="1"/>
  <c r="E26"/>
  <c r="U17" l="1"/>
  <c r="E27"/>
  <c r="Q21"/>
  <c r="Q27" s="1"/>
  <c r="R21"/>
  <c r="R27" s="1"/>
  <c r="V24"/>
  <c r="V26" s="1"/>
  <c r="S27"/>
  <c r="V21" l="1"/>
  <c r="V27" s="1"/>
  <c r="U21"/>
  <c r="U27" s="1"/>
  <c r="G47" i="56" l="1"/>
  <c r="D47"/>
  <c r="S32"/>
  <c r="Q32"/>
  <c r="M32"/>
  <c r="K32"/>
  <c r="I32"/>
  <c r="E32"/>
  <c r="J13"/>
  <c r="H13"/>
  <c r="F13"/>
  <c r="D13"/>
  <c r="B13"/>
  <c r="L11"/>
  <c r="L13" s="1"/>
  <c r="C23" i="27" l="1"/>
  <c r="R20" i="98" l="1"/>
  <c r="F20"/>
  <c r="P16" l="1"/>
  <c r="O16"/>
  <c r="V27"/>
  <c r="V29" s="1"/>
  <c r="T16"/>
  <c r="T20" s="1"/>
  <c r="S16"/>
  <c r="S20" s="1"/>
  <c r="C16"/>
  <c r="D16"/>
  <c r="U16" l="1"/>
  <c r="U20" s="1"/>
  <c r="P15"/>
  <c r="O15"/>
  <c r="P18"/>
  <c r="X18" s="1"/>
  <c r="O18"/>
  <c r="Q16"/>
  <c r="W16"/>
  <c r="X16"/>
  <c r="N16"/>
  <c r="H16"/>
  <c r="H20" s="1"/>
  <c r="J27"/>
  <c r="J29" s="1"/>
  <c r="G16"/>
  <c r="G20" s="1"/>
  <c r="C18"/>
  <c r="K18" s="1"/>
  <c r="N18"/>
  <c r="D18"/>
  <c r="E16"/>
  <c r="Y16" l="1"/>
  <c r="Z16" s="1"/>
  <c r="AD16" s="1"/>
  <c r="K16"/>
  <c r="AA16" s="1"/>
  <c r="Q15"/>
  <c r="W15"/>
  <c r="Q18"/>
  <c r="Y18" s="1"/>
  <c r="W18"/>
  <c r="X15"/>
  <c r="E18"/>
  <c r="M18" s="1"/>
  <c r="L18"/>
  <c r="AB18" s="1"/>
  <c r="I16"/>
  <c r="I20" s="1"/>
  <c r="C19"/>
  <c r="K19" s="1"/>
  <c r="N19"/>
  <c r="D19"/>
  <c r="C15"/>
  <c r="D15"/>
  <c r="N15"/>
  <c r="N20" s="1"/>
  <c r="F27"/>
  <c r="F29" s="1"/>
  <c r="L16"/>
  <c r="AB16" s="1"/>
  <c r="D20" l="1"/>
  <c r="C20"/>
  <c r="P19"/>
  <c r="P20" s="1"/>
  <c r="O19"/>
  <c r="O20" s="1"/>
  <c r="R27"/>
  <c r="R29" s="1"/>
  <c r="Y15"/>
  <c r="AC18"/>
  <c r="AD18"/>
  <c r="AA18"/>
  <c r="E19"/>
  <c r="M19" s="1"/>
  <c r="L19"/>
  <c r="N27"/>
  <c r="N29" s="1"/>
  <c r="E15"/>
  <c r="L15"/>
  <c r="K15"/>
  <c r="K20" s="1"/>
  <c r="M16"/>
  <c r="AC16" s="1"/>
  <c r="E20" l="1"/>
  <c r="L20"/>
  <c r="Z15"/>
  <c r="L27"/>
  <c r="K27"/>
  <c r="K29" s="1"/>
  <c r="Q19"/>
  <c r="Q20" s="1"/>
  <c r="W19"/>
  <c r="W20" s="1"/>
  <c r="X19"/>
  <c r="X20" s="1"/>
  <c r="AB15"/>
  <c r="AA15"/>
  <c r="M15"/>
  <c r="M20" s="1"/>
  <c r="L29" l="1"/>
  <c r="AD15"/>
  <c r="H27"/>
  <c r="H29" s="1"/>
  <c r="G27"/>
  <c r="G29" s="1"/>
  <c r="M27"/>
  <c r="M29" s="1"/>
  <c r="D27"/>
  <c r="D29" s="1"/>
  <c r="C27"/>
  <c r="C29" s="1"/>
  <c r="AB19"/>
  <c r="AB20" s="1"/>
  <c r="AA19"/>
  <c r="AA20" s="1"/>
  <c r="Y19"/>
  <c r="AC15"/>
  <c r="Z19" l="1"/>
  <c r="Y20"/>
  <c r="E27"/>
  <c r="E29" s="1"/>
  <c r="I27"/>
  <c r="I29" s="1"/>
  <c r="AC19"/>
  <c r="AC20" s="1"/>
  <c r="AD19" l="1"/>
  <c r="AD20" s="1"/>
  <c r="Z20"/>
  <c r="Z27" s="1"/>
  <c r="Z29" s="1"/>
  <c r="W27" l="1"/>
  <c r="W29" s="1"/>
  <c r="AD27"/>
  <c r="AD29" s="1"/>
  <c r="X27"/>
  <c r="X29" s="1"/>
  <c r="P27" l="1"/>
  <c r="P29" s="1"/>
  <c r="O27"/>
  <c r="O29" s="1"/>
  <c r="AB27"/>
  <c r="AB29" s="1"/>
  <c r="AA27"/>
  <c r="AA29" s="1"/>
  <c r="Y27"/>
  <c r="Y29" s="1"/>
  <c r="Q27" l="1"/>
  <c r="Q29" s="1"/>
  <c r="T27"/>
  <c r="T29" s="1"/>
  <c r="S27"/>
  <c r="S29" s="1"/>
  <c r="AC27"/>
  <c r="AC29" s="1"/>
  <c r="U27" l="1"/>
  <c r="U29" s="1"/>
  <c r="M45" i="60"/>
  <c r="Q22"/>
  <c r="Q45" s="1"/>
  <c r="H22"/>
  <c r="H45" s="1"/>
  <c r="L22" l="1"/>
  <c r="L45" s="1"/>
  <c r="G19" i="102"/>
  <c r="G27" s="1"/>
</calcChain>
</file>

<file path=xl/sharedStrings.xml><?xml version="1.0" encoding="utf-8"?>
<sst xmlns="http://schemas.openxmlformats.org/spreadsheetml/2006/main" count="4909" uniqueCount="1219">
  <si>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</si>
  <si>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</si>
  <si>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</si>
  <si>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</si>
  <si>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</si>
  <si>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</si>
  <si>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</si>
  <si>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</si>
  <si>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</si>
  <si>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</si>
  <si>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</si>
  <si>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Date:_________</t>
  </si>
  <si>
    <t>(Signature)</t>
  </si>
  <si>
    <t xml:space="preserve">Secretary of the Nodal Department </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</si>
  <si>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</si>
  <si>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</si>
  <si>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</si>
  <si>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</si>
  <si>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</si>
  <si>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</si>
  <si>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</si>
  <si>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</si>
  <si>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</si>
  <si>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</si>
  <si>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</si>
  <si>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</si>
  <si>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</si>
  <si>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</si>
  <si>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</si>
  <si>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</si>
  <si>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</si>
  <si>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</si>
  <si>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</si>
  <si>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</si>
  <si>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</si>
  <si>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</si>
  <si>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</si>
  <si>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</si>
  <si>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</si>
  <si>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</si>
  <si>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</si>
  <si>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</si>
  <si>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</si>
  <si>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</si>
  <si>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</si>
  <si>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</si>
  <si>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</si>
  <si>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</si>
  <si>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</si>
  <si>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</si>
  <si>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</si>
  <si>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</si>
  <si>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</si>
  <si>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</si>
  <si>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</si>
  <si>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</si>
  <si>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</si>
  <si>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</si>
  <si>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</si>
  <si>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</si>
  <si>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</si>
  <si>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</si>
  <si>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</si>
  <si>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</si>
  <si>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</si>
  <si>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</si>
  <si>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</si>
  <si>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</si>
  <si>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</si>
  <si>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</si>
  <si>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</si>
  <si>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</si>
  <si>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</si>
  <si>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</si>
  <si>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</si>
  <si>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</si>
  <si>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</si>
  <si>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</si>
  <si>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</si>
  <si>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</si>
  <si>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</si>
  <si>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</si>
  <si>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</si>
  <si>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</si>
  <si>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</si>
  <si>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</si>
  <si>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</si>
  <si>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</si>
  <si>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</si>
  <si>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</si>
  <si>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</si>
  <si>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</si>
  <si>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</si>
  <si>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</si>
  <si>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</si>
  <si>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</si>
  <si>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</si>
  <si>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</si>
  <si>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</si>
  <si>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</si>
  <si>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</si>
  <si>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</si>
  <si>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</si>
  <si>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</si>
  <si>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</si>
  <si>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</si>
  <si>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</si>
  <si>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</si>
  <si>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</si>
  <si>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</si>
  <si>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</si>
  <si>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</si>
  <si>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</si>
  <si>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</si>
  <si>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</si>
  <si>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</si>
  <si>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</si>
  <si>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</si>
  <si>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</si>
  <si>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</si>
  <si>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</si>
  <si>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</si>
  <si>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</si>
  <si>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</si>
  <si>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</si>
  <si>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</si>
  <si>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</si>
  <si>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</si>
  <si>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</si>
  <si>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</si>
  <si>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</si>
  <si>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</si>
  <si>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</si>
  <si>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</si>
  <si>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</si>
  <si>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</si>
  <si>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</si>
  <si>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</si>
  <si>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</si>
  <si>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</si>
  <si>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</si>
  <si>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</si>
  <si>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</si>
  <si>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</si>
  <si>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</si>
  <si>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</si>
  <si>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</si>
  <si>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</si>
  <si>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</si>
  <si>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</si>
  <si>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</si>
  <si>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</si>
  <si>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</si>
  <si>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</si>
  <si>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</si>
  <si>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</si>
  <si>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</si>
  <si>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</si>
  <si>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No. of Schools not having Kitchen Shed</t>
  </si>
  <si>
    <t>Fund required</t>
  </si>
  <si>
    <t>Kitchen-cum-Store proposed this year</t>
  </si>
  <si>
    <t>Total fund required : (Col. 6+10+14+18)</t>
  </si>
  <si>
    <t>State / UT:</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</si>
  <si>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</si>
  <si>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</si>
  <si>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</si>
  <si>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</si>
  <si>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</si>
  <si>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</si>
  <si>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</si>
  <si>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</si>
  <si>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</si>
  <si>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</si>
  <si>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</si>
  <si>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</si>
  <si>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</si>
  <si>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</si>
  <si>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</si>
  <si>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</si>
  <si>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</si>
  <si>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</si>
  <si>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</si>
  <si>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</si>
  <si>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</si>
  <si>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</si>
  <si>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</si>
  <si>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</si>
  <si>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</si>
  <si>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</si>
  <si>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</si>
  <si>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</si>
  <si>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</si>
  <si>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</si>
  <si>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</si>
  <si>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</si>
  <si>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</si>
  <si>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</si>
  <si>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</si>
  <si>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</si>
  <si>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</si>
  <si>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</si>
  <si>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</si>
  <si>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</si>
  <si>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</si>
  <si>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</si>
  <si>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</si>
  <si>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</si>
  <si>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</si>
  <si>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</si>
  <si>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</si>
  <si>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</si>
  <si>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</si>
  <si>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</si>
  <si>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</si>
  <si>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</si>
  <si>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</si>
  <si>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</si>
  <si>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</si>
  <si>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</si>
  <si>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</si>
  <si>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</si>
  <si>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</si>
  <si>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</si>
  <si>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</si>
  <si>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</si>
  <si>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</si>
  <si>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</si>
  <si>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</si>
  <si>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</si>
  <si>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</si>
  <si>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</si>
  <si>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</si>
  <si>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</si>
  <si>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</si>
  <si>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</si>
  <si>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</si>
  <si>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</si>
  <si>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</si>
  <si>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</si>
  <si>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</si>
  <si>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</si>
  <si>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</si>
  <si>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</si>
  <si>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</si>
  <si>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</si>
  <si>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</si>
  <si>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</si>
  <si>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</si>
  <si>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</si>
  <si>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</si>
  <si>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</si>
  <si>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</si>
  <si>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</si>
  <si>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</si>
  <si>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</si>
  <si>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</si>
  <si>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</si>
  <si>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</si>
  <si>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</si>
  <si>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</si>
  <si>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</si>
  <si>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</si>
  <si>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</si>
  <si>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</si>
  <si>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</si>
  <si>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</si>
  <si>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</si>
  <si>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</si>
  <si>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</si>
  <si>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</si>
  <si>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</si>
  <si>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</si>
  <si>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</si>
  <si>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</si>
  <si>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</si>
  <si>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</si>
  <si>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</si>
  <si>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</si>
  <si>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</si>
  <si>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</si>
  <si>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</si>
  <si>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</si>
  <si>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</si>
  <si>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</si>
  <si>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</si>
  <si>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</si>
  <si>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</si>
  <si>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</si>
  <si>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</si>
  <si>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</si>
  <si>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</si>
  <si>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</si>
  <si>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</si>
  <si>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</si>
  <si>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</si>
  <si>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</si>
  <si>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</si>
  <si>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</si>
  <si>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</si>
  <si>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</si>
  <si>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</si>
  <si>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</si>
  <si>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</si>
  <si>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</si>
  <si>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</si>
  <si>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</si>
  <si>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</si>
  <si>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</si>
  <si>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</si>
  <si>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</si>
  <si>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</si>
  <si>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</si>
  <si>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</si>
  <si>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</si>
  <si>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</si>
  <si>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</si>
  <si>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</si>
  <si>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</si>
  <si>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</si>
  <si>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</si>
  <si>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</si>
  <si>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</si>
  <si>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</si>
  <si>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</si>
  <si>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</si>
  <si>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</si>
  <si>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</si>
  <si>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</si>
  <si>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</si>
  <si>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</si>
  <si>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</si>
  <si>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</si>
  <si>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</si>
  <si>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</si>
  <si>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</si>
  <si>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</si>
  <si>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</si>
  <si>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</si>
  <si>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</si>
  <si>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</si>
  <si>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</si>
  <si>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</si>
  <si>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</si>
  <si>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</si>
  <si>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</si>
  <si>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</si>
  <si>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</si>
  <si>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</si>
  <si>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</si>
  <si>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</si>
  <si>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</si>
  <si>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</si>
  <si>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</si>
  <si>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</si>
  <si>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</si>
  <si>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</si>
  <si>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</si>
  <si>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</si>
  <si>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</si>
  <si>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</si>
  <si>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</si>
  <si>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</si>
  <si>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</si>
  <si>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</si>
  <si>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</si>
  <si>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</si>
  <si>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</si>
  <si>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</si>
  <si>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</si>
  <si>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</si>
  <si>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</si>
  <si>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</si>
  <si>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</si>
  <si>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</si>
  <si>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</si>
  <si>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</si>
  <si>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</si>
  <si>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</si>
  <si>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</si>
  <si>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</si>
  <si>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</si>
  <si>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</si>
  <si>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</si>
  <si>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</si>
  <si>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</si>
  <si>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</si>
  <si>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</si>
  <si>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</si>
  <si>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</si>
  <si>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</si>
  <si>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</si>
  <si>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</si>
  <si>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</si>
  <si>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</si>
  <si>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</si>
  <si>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</si>
  <si>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</si>
  <si>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</si>
  <si>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</si>
  <si>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</si>
  <si>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</si>
  <si>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</si>
  <si>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</si>
  <si>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</si>
  <si>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</si>
  <si>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</si>
  <si>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</si>
  <si>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</si>
  <si>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</si>
  <si>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</si>
  <si>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</si>
  <si>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</si>
  <si>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</si>
  <si>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</si>
  <si>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</si>
  <si>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</si>
  <si>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</si>
  <si>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</si>
  <si>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</si>
  <si>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</si>
  <si>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</si>
  <si>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</si>
  <si>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</si>
  <si>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</si>
  <si>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</si>
  <si>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</si>
  <si>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</si>
  <si>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</si>
  <si>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</si>
  <si>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</si>
  <si>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</si>
  <si>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</si>
  <si>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</si>
  <si>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</si>
  <si>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</si>
  <si>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</si>
  <si>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</si>
  <si>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</si>
  <si>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</si>
  <si>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</si>
  <si>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</si>
  <si>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</si>
  <si>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</si>
  <si>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</si>
  <si>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</si>
  <si>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</si>
  <si>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</si>
  <si>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</si>
  <si>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</si>
  <si>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</si>
  <si>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</si>
  <si>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</si>
  <si>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</si>
  <si>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</si>
  <si>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</si>
  <si>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</si>
  <si>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</si>
  <si>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</si>
  <si>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</si>
  <si>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</si>
  <si>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</si>
  <si>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</si>
  <si>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</si>
  <si>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</si>
  <si>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</si>
  <si>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</si>
  <si>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</si>
  <si>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</si>
  <si>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</si>
  <si>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</si>
  <si>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</si>
  <si>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</si>
  <si>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</si>
  <si>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</si>
  <si>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</si>
  <si>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</si>
  <si>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</si>
  <si>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</si>
  <si>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</si>
  <si>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</si>
  <si>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</si>
  <si>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</si>
  <si>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</si>
  <si>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</si>
  <si>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</si>
  <si>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</si>
  <si>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</si>
  <si>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</si>
  <si>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</si>
  <si>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</si>
  <si>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</si>
  <si>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</si>
  <si>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</si>
  <si>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</si>
  <si>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</si>
  <si>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</si>
  <si>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</si>
  <si>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</si>
  <si>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</si>
  <si>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</si>
  <si>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</si>
  <si>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</si>
  <si>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</si>
  <si>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</si>
  <si>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</si>
  <si>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</si>
  <si>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</si>
  <si>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</si>
  <si>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</si>
  <si>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</si>
  <si>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</si>
  <si>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</si>
  <si>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</si>
  <si>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</si>
  <si>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</si>
  <si>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</si>
  <si>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</si>
  <si>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</si>
  <si>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</si>
  <si>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</si>
  <si>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</si>
  <si>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</si>
  <si>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</si>
  <si>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</si>
  <si>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</si>
  <si>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</si>
  <si>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</si>
  <si>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</si>
  <si>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</si>
  <si>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</si>
  <si>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</si>
  <si>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</si>
  <si>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</si>
  <si>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</si>
  <si>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</si>
  <si>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</si>
  <si>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</si>
  <si>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</si>
  <si>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</si>
  <si>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</si>
  <si>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</si>
  <si>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</si>
  <si>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</si>
  <si>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</si>
  <si>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</si>
  <si>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</si>
  <si>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</si>
  <si>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</si>
  <si>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</si>
  <si>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</si>
  <si>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</si>
  <si>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</si>
  <si>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</si>
  <si>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</si>
  <si>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</si>
  <si>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</si>
  <si>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</si>
  <si>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</si>
  <si>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</si>
  <si>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</si>
  <si>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</si>
  <si>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</si>
  <si>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</si>
  <si>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</si>
  <si>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</si>
  <si>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</si>
  <si>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</si>
  <si>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</si>
  <si>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</si>
  <si>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</si>
  <si>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</si>
  <si>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</si>
  <si>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</si>
  <si>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</si>
  <si>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</si>
  <si>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</si>
  <si>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</si>
  <si>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</si>
  <si>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</si>
  <si>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</si>
  <si>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</si>
  <si>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</si>
  <si>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</si>
  <si>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</si>
  <si>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</si>
  <si>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</si>
  <si>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</si>
  <si>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</si>
  <si>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</si>
  <si>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</si>
  <si>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</si>
  <si>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</si>
  <si>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</si>
  <si>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</si>
  <si>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</si>
  <si>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</si>
  <si>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</si>
  <si>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</si>
  <si>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</si>
  <si>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</si>
  <si>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</si>
  <si>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</si>
  <si>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</si>
  <si>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</si>
  <si>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</si>
  <si>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</si>
  <si>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</si>
  <si>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</si>
  <si>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</si>
  <si>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</si>
  <si>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</si>
  <si>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</si>
  <si>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</si>
  <si>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</si>
  <si>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</si>
  <si>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</si>
  <si>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</si>
  <si>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</si>
  <si>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</si>
  <si>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</si>
  <si>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</si>
  <si>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</si>
  <si>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</si>
  <si>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</si>
  <si>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</si>
  <si>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</si>
  <si>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</si>
  <si>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</si>
  <si>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</si>
  <si>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</si>
  <si>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</si>
  <si>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</si>
  <si>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</si>
  <si>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</si>
  <si>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</si>
  <si>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</si>
  <si>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</si>
  <si>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</si>
  <si>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</si>
  <si>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</si>
  <si>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</si>
  <si>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</si>
  <si>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</si>
  <si>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</si>
  <si>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</si>
  <si>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</si>
  <si>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</si>
  <si>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</si>
  <si>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</si>
  <si>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</si>
  <si>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</si>
  <si>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</si>
  <si>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</si>
  <si>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</si>
  <si>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</si>
  <si>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</si>
  <si>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</si>
  <si>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</si>
  <si>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</si>
  <si>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</si>
  <si>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</si>
  <si>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</si>
  <si>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</si>
  <si>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</si>
  <si>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</si>
  <si>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</si>
  <si>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</si>
  <si>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</si>
  <si>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</si>
  <si>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</si>
  <si>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</si>
  <si>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</si>
  <si>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</si>
  <si>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</si>
  <si>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Foodgrains</t>
  </si>
  <si>
    <t xml:space="preserve">Hon. to cook-cum-helpers </t>
  </si>
  <si>
    <t>Allocation</t>
  </si>
  <si>
    <t>Utilisation</t>
  </si>
  <si>
    <t>Allocation (Centre +State)</t>
  </si>
  <si>
    <t>Utilisation (Centre +State)</t>
  </si>
  <si>
    <t>Table: AT-32A</t>
  </si>
  <si>
    <t>Information on Kitchen Garden</t>
  </si>
  <si>
    <t xml:space="preserve">AT - 10 E </t>
  </si>
  <si>
    <t>AT - 4 B</t>
  </si>
  <si>
    <t>Information on Aadhaar Enrolment</t>
  </si>
  <si>
    <t>AT - 32</t>
  </si>
  <si>
    <t>AT - 32 A</t>
  </si>
  <si>
    <t>Coarse Grains</t>
  </si>
  <si>
    <t>2018-19</t>
  </si>
  <si>
    <t>k</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</si>
  <si>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</si>
  <si>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</si>
  <si>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</si>
  <si>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</si>
  <si>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</si>
  <si>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</si>
  <si>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</si>
  <si>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AT-29A</t>
  </si>
  <si>
    <t>State share</t>
  </si>
  <si>
    <t>Requirement of funds (Rs in lakh)</t>
  </si>
  <si>
    <t>Table: AT-28 B</t>
  </si>
  <si>
    <t>AT - 28 B</t>
  </si>
  <si>
    <t>Table AT 21 :Details of engagement and apportionment of honorarium to cook cum helpers (CCH) between schools and centralized kitchen</t>
  </si>
  <si>
    <t>Table: AT-28 B: Repair of kitchen cum stores constructed ten years ago</t>
  </si>
  <si>
    <t>Centre share</t>
  </si>
  <si>
    <t>Repair of kitchen cum stores constructed ten years ago</t>
  </si>
  <si>
    <t>AT- 29 A</t>
  </si>
  <si>
    <t>Repair of kitchen-cum-stores</t>
  </si>
  <si>
    <t>Requirement of funds for Transportation Assistance</t>
  </si>
  <si>
    <t>Mode of data collection (SMS/ IVRS/ Mobile App/ Web Application/ Others)</t>
  </si>
  <si>
    <t>Name of Agency implementing AMS in State/UT</t>
  </si>
  <si>
    <t>Total Funds required (Rs in lakh)</t>
  </si>
  <si>
    <t>Rate  of Transportation Assistance (Per quintal)</t>
  </si>
  <si>
    <t>PDS rate (Rs per Quintal)</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</si>
  <si>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</si>
  <si>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</si>
  <si>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</si>
  <si>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</si>
  <si>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</si>
  <si>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</si>
  <si>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</si>
  <si>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</si>
  <si>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</si>
  <si>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</si>
  <si>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</si>
  <si>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</si>
  <si>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</si>
  <si>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</si>
  <si>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</si>
  <si>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</si>
  <si>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</si>
  <si>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</si>
  <si>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Number of School Working Days (Primary,Classes I-V) for 2020-21</t>
  </si>
  <si>
    <t>Number of School Working Days (Upper Primary,Classes VI-VIII) for 2020-21</t>
  </si>
  <si>
    <t>Proposal for coverage of children and working days  for 2020-21  (Primary Classes, I-V)</t>
  </si>
  <si>
    <t>Proposal for coverage of children and working days  for 2020-21  (Upper Primary,Classes VI-VIII)</t>
  </si>
  <si>
    <t>Proposal for coverage of children for NCLP Schools during 2020-21</t>
  </si>
  <si>
    <t>Proposal for coverage of children and working days  for Primary (Classes I-V) in Drought affected areas  during 2020-21</t>
  </si>
  <si>
    <t>Proposal for coverage of children and working days  for  Upper Primary (Classes VI-VIII)in Drought affected areas  during 2020-21</t>
  </si>
  <si>
    <t>Requirement of kitchen-cum-stores in the Primary and Upper Primary schools for the year 2020-21</t>
  </si>
  <si>
    <t>Requirement of kitchen cum stores as per Plinth Area Norm in the Primary and Upper Primary schools for the year 2020-21</t>
  </si>
  <si>
    <t>Requirement of Kitchen Devices (new) during 2020-21 in Primary &amp; Upper Primary Schools</t>
  </si>
  <si>
    <t>Replacement of Kitchen Devices during 2020-21 in Primary &amp; Upper Primary Schools</t>
  </si>
  <si>
    <t>Requirement of Cook cum Helpers for 2020-21</t>
  </si>
  <si>
    <t>Budget Provision for the Year 2020-21</t>
  </si>
  <si>
    <t>Annual Work Plan and Budget 2020-21</t>
  </si>
  <si>
    <t>2020-21</t>
  </si>
  <si>
    <t>No. of institutions where setting up of kitchen garden is proposed during 2020-21</t>
  </si>
  <si>
    <t>Annual Work Plan and Budget  2020-21</t>
  </si>
  <si>
    <t>Annual Work Plan &amp; Budget 2020-21</t>
  </si>
  <si>
    <t>Proposals for 2020-21</t>
  </si>
  <si>
    <t>Table: AT-26 : Number of School Working Days (Primary,Classes I-V) for 2020-21</t>
  </si>
  <si>
    <t>Table: AT-26A : Number of School Working Days (Upper Primary,Classes VI-VIII) for 2020-21</t>
  </si>
  <si>
    <t>Table: AT-27: Proposal for coverage of children and working days  for 2020-21 (Primary Classes, I-V)</t>
  </si>
  <si>
    <t>Table: AT-27 A: Proposal for coverage of children and working days  for 2020-21 (Upper Primary,Classes VI-VIII)</t>
  </si>
  <si>
    <t>Table: AT-27 B: Proposal for coverage of children for NCLP Schools during 2020-21</t>
  </si>
  <si>
    <t>Table: AT-27C : Proposal for coverage of children and working days  for Primary (Classes I-V) in Drought affected areas  during 2020-21</t>
  </si>
  <si>
    <t>Table: AT-27 D : Proposal for coverage of children and working days  for Upper Primary (Classes VI-VIII) in Drought affected areas  during 2020-21</t>
  </si>
  <si>
    <t>Table: AT-28: Requirement of kitchen-cum-stores in Primary and Upper Primary schools for the year 2020-21</t>
  </si>
  <si>
    <t>Table: AT-28 A: Requirement of kitchen cum stores as per Plinth Area Norm in the Primary and Upper Primary schools for the year 2020-21</t>
  </si>
  <si>
    <t>Table: AT-29 : Requirement of Kitchen Devices (new) during 2020-21 in Primary &amp; Upper Primary Schools</t>
  </si>
  <si>
    <t>Table: AT-29 A : Replacement of Kitchen Devices during 2020-21 in Primary &amp; Upper Primary Schools</t>
  </si>
  <si>
    <t>Table: AT 30 :  Requirement of Cook cum Helpers for 2020-21</t>
  </si>
  <si>
    <t>Table: AT-31 : Budget Provision for the Year 2020-21</t>
  </si>
  <si>
    <t>Enrolment (As on 30.09.2019)</t>
  </si>
  <si>
    <t>GENERAL INFORMATION for 2019-2020</t>
  </si>
  <si>
    <t>Details of  Provisions  in the State Budget 2019-2020</t>
  </si>
  <si>
    <t>Releasing of Funds from State to Directorate / Authority / District / Block / School level during 2019-2020</t>
  </si>
  <si>
    <t>No. of Institutions in the State vis a vis Institutions serving MDM during 2019-2020</t>
  </si>
  <si>
    <t>No. of Institutions covered  (Primary, Classes I-V)  during 2019-2020</t>
  </si>
  <si>
    <t>No. of Institutions covered (Upper Primary with Primary, Classes I-VIII) during 2019-2020</t>
  </si>
  <si>
    <t>No. of Institutions covered (Upper Primary without Primary, Classes VI-VIII) during 2019-2020</t>
  </si>
  <si>
    <t>Enrolment vis-à-vis availed for MDM  (Primary,Classes I- V) during 2019-2020</t>
  </si>
  <si>
    <t>Enrolment vis-a-vis availed for MDM  (Upper Primary, Classes VI - VIII) during 2019-2020</t>
  </si>
  <si>
    <t>PAB-MDM Approval vs. PERFORMANCE (Primary, Classes I - V) during 2019-2020</t>
  </si>
  <si>
    <t>PAB-MDM Approval vs. PERFORMANCE (Upper Primary, Classes VI to VIII) during 2019-2020</t>
  </si>
  <si>
    <t>PAB-MDM Approval vs. PERFORMANCE NCLP Schools during 2019-2020</t>
  </si>
  <si>
    <t>PAB-MDM Approval vs. PERFORMANCE (Primary, Classes I - V) during 2019-2020 - Drought</t>
  </si>
  <si>
    <t>PAB-MDM Approval vs. PERFORMANCE (Upper Primary, Classes VI to VIII) during 2019-2020 - Drought</t>
  </si>
  <si>
    <t>Utilisation of foodgrains  (Primary, Classes I-V) during 2019-2020</t>
  </si>
  <si>
    <t>Utilisation of foodgrains  (Upper Primary, Classes VI-VIII) during 2019-2020</t>
  </si>
  <si>
    <t>PAYMENT OF COST OF FOOD GRAINS TO FCI (Primary and Upper Primary Classes I-VIII) during 2019-2020</t>
  </si>
  <si>
    <t>Utilisation of foodgrains (Coarse Grain) during 2019-2020</t>
  </si>
  <si>
    <t>Utilisation of Cooking Cost (Primary, Classes I-V) during 2019-2020</t>
  </si>
  <si>
    <t>Utilisation of Cooking cost (Upper Primary Classes, VI-VIII) during 2019-2020</t>
  </si>
  <si>
    <t>Utilisation of funds towards honorarium to Cook-cum-Helpers (Primary classes I-V) during 2019-2020</t>
  </si>
  <si>
    <t>Utilisation of funds towards honorarium to Cook-cum-Helpers (Upper Primary classes VI-VIII) during 2019-2020</t>
  </si>
  <si>
    <t>Utilisation of Central Assitance towards Transportation Assistance (Primary &amp; Upper Primary,Classes I-VIII) during 2019-2020</t>
  </si>
  <si>
    <t>Utilisation of Central Assistance towards MME  (Primary &amp; Upper Primary,Classes I-VIII) during 2019-2020</t>
  </si>
  <si>
    <t>Details of Meetings at district level during 2019-2020</t>
  </si>
  <si>
    <t>Coverage under Rashtriya Bal Swasthya Karykram (School Health Programme) - 2019-2020</t>
  </si>
  <si>
    <t>Annual and Monthly data entry status in MDM-MIS during 2019-2020</t>
  </si>
  <si>
    <t>Implementation of Automated Monitoring System  during 2019-2020</t>
  </si>
  <si>
    <t>PAB-MDM Approval vs. PERFORMANCE (Primary Classes I to V) during 2019-2020 - Drought</t>
  </si>
  <si>
    <t>Table: AT-1: GENERAL INFORMATION for 2019-2020</t>
  </si>
  <si>
    <t>Table: AT-2 :  Details of  Provisions  in the State Budget 2019-2020</t>
  </si>
  <si>
    <t>Table: AT-2A : Releasing of Funds from State to Directorate / Authority / District / Block / School level during 2019-2020</t>
  </si>
  <si>
    <t>Table AT-3: No. of Institutions in the State vis a vis Institutions serving MDM during 2019-2020</t>
  </si>
  <si>
    <t>Table: AT-3A: No. of Institutions covered  (Primary, Classes I-V)  during 2019-2020</t>
  </si>
  <si>
    <t>Table: AT-3B: No. of Institutions covered (Upper Primary with Primary, Classes I-VIII) during 2019-2020</t>
  </si>
  <si>
    <t>Table: AT-3C: No. of Institutions covered (Upper Primary without Primary, Classes VI-VIII) during 2019-2020</t>
  </si>
  <si>
    <t>Table: AT-4: Enrolment vis-à-vis availed for MDM  (Primary,Classes I- V) during 2019-2020</t>
  </si>
  <si>
    <t>Table: AT-4A: Enrolment vis-a-vis availed for MDM  (Upper Primary, Classes VI - VIII) during 2019-2020</t>
  </si>
  <si>
    <t>Table: AT-5:  PAB-MDM Approval vs. PERFORMANCE (Primary, Classes I - V) during 2019-2020</t>
  </si>
  <si>
    <t>MDM-PAB Approval for 2019-2020</t>
  </si>
  <si>
    <t>Table: AT-5 A:  PAB-MDM Approval vs. PERFORMANCE (Upper Primary, Classes VI to VIII) during 2019-2020</t>
  </si>
  <si>
    <t>Table: AT-5 B:  PAB-MDM Approval vs. PERFORMANCE - STC (NCLP Schools) during 2019-2020</t>
  </si>
  <si>
    <t>MDM-PAB Approval for2019-2020</t>
  </si>
  <si>
    <t>Table: AT-5 C:  PAB-MDM Approval vs. PERFORMANCE (Primary, Classes I - V) during 2019-2020 - Drought</t>
  </si>
  <si>
    <t>Table: AT-5 D:  PAB-MDM Approval vs. PERFORMANCE (Upper Primary, Classes VI to VIII) during 2019-2020 - Drought</t>
  </si>
  <si>
    <t>Table: AT-6: Utilisation of foodgrains  (Primary, Classes I-V) during 2019-2020</t>
  </si>
  <si>
    <t>Table: AT-6A: Utilisation of foodgrains  (Upper Primary, Classes VI-VIII) during 2019-2020</t>
  </si>
  <si>
    <t>Table: AT-6B: PAYMENT OF COST OF FOOD GRAINS TO FCI (Primary and Upper Primary Classes I-VIII) during 2019-2020</t>
  </si>
  <si>
    <t>Table: AT-6C: Utilisation of foodgrains (Coarse Grain) during 2019-2020</t>
  </si>
  <si>
    <t>Table: AT-7: Utilisation of Cooking Cost (Primary Classes I-V) during 2019-2020</t>
  </si>
  <si>
    <t>Table: AT-7A: Utilisation of Cooking cost (Upper Primary Classes, VI-VIII) during 2019-2020</t>
  </si>
  <si>
    <t>Table AT - 8 :Utilisation of funds towards honorarium to Cook-cum-Helpers (Primary classes I-V) during 2019-2020</t>
  </si>
  <si>
    <t>Table AT - 8A : Utilisation of funds towards honorarium to Cook-cum-Helpers (Upper Primary classes VI-VIII) during 2019-2020</t>
  </si>
  <si>
    <t>Table: AT-9 : Utilisation of Central Assitance towards Transportation Assistance (Primary &amp; Upper Primary,Classes I-VIII) during 2019-2020</t>
  </si>
  <si>
    <t>Table: AT-10 :  Utilisation of Central Assistance towards MME  (Primary &amp; Upper Primary,Classes I-VIII) during 2019-2020</t>
  </si>
  <si>
    <t>Table: AT-10 A : Details of Meetings at district level during 2019-2020</t>
  </si>
  <si>
    <t xml:space="preserve">Table AT - 10 B : Details of Social Audit during 2019-2020 </t>
  </si>
  <si>
    <t>Table AT - 23 A- Implementation of Automated Monitoring System  during 2019-2020</t>
  </si>
  <si>
    <t>Table: AT-32:  PAB-MDM Approval vs. PERFORMANCE (Primary Classes I to V) during 2019-2020 - Drought</t>
  </si>
  <si>
    <t>Table: AT-32 A:  PAB-MDM Approval vs. PERFORMANCE (Upper Primary, Classes VI to VIII) during 2019-2020 - Drought</t>
  </si>
  <si>
    <t xml:space="preserve">Opening Balance as on 01.04.2019                                  </t>
  </si>
  <si>
    <t>Opening Balance as on 01.04.2019</t>
  </si>
  <si>
    <t>Apr, 2019</t>
  </si>
  <si>
    <t>Dec, 2019</t>
  </si>
  <si>
    <t>Budget Released till 31.12.2019</t>
  </si>
  <si>
    <t>(For the Period 01.04.2019 to 31.12.2019)</t>
  </si>
  <si>
    <t>During 01.04.2019 to 31.12.2019</t>
  </si>
  <si>
    <t>(As on 31.12.2019)</t>
  </si>
  <si>
    <t>As on 31.12.2019</t>
  </si>
  <si>
    <t>April, 2020</t>
  </si>
  <si>
    <t>May,2020</t>
  </si>
  <si>
    <t>June,2020</t>
  </si>
  <si>
    <t>July,2020</t>
  </si>
  <si>
    <t>August,2020</t>
  </si>
  <si>
    <t>September,2020</t>
  </si>
  <si>
    <t>October,2020</t>
  </si>
  <si>
    <t>November,2020</t>
  </si>
  <si>
    <t>December,2020</t>
  </si>
  <si>
    <t>January,2021</t>
  </si>
  <si>
    <t>February,2021</t>
  </si>
  <si>
    <t>March,2021</t>
  </si>
  <si>
    <t>No. of Kitchens constructed prior to FY 2009-10</t>
  </si>
  <si>
    <t>No. of Kitchens constructed prior to 2009-10 and require repairs</t>
  </si>
  <si>
    <t>2019-20</t>
  </si>
  <si>
    <t>Repair of Kitchen-cum-stores</t>
  </si>
  <si>
    <t>Gross Allocation for the  FY 2019-20</t>
  </si>
  <si>
    <t>Allocation for cost of foodgrains for 2019-20</t>
  </si>
  <si>
    <t xml:space="preserve">Unspent Balance as on 31.12.2019  </t>
  </si>
  <si>
    <t xml:space="preserve">Total Unspent Balance as on 31.12.2019                           </t>
  </si>
  <si>
    <t>Allocation for 2019-20</t>
  </si>
  <si>
    <t xml:space="preserve">Allocation for 2019-20                       </t>
  </si>
  <si>
    <t>Allocation for FY 2019-20</t>
  </si>
  <si>
    <t>Unspent Balance as on 31.12.2019</t>
  </si>
  <si>
    <t>Opening balance as on 01.04.2019</t>
  </si>
  <si>
    <t xml:space="preserve">Unspent Balance as on 31.12.2019  [Col. 4+ Col.5+Col.6 -Col.8]  </t>
  </si>
  <si>
    <t>Allocation for  2019-20</t>
  </si>
  <si>
    <t>Unspent balance as on 31.12.2019               [Col: (4+5)-7]</t>
  </si>
  <si>
    <t>*Total sanctioned during 2006-07  to 2019-20</t>
  </si>
  <si>
    <t>Table: AT-17 : Coverage under Rashtriya Bal Swasthya Karykram (School Health Programme) - 2019-20</t>
  </si>
  <si>
    <t>Table AT - 23 Annual and Monthly data entry status in MDM-MIS during 2019-20</t>
  </si>
  <si>
    <t>In-Cash Benefit Type Component                                                                                                                                                                (CCH Honorarieum only)</t>
  </si>
  <si>
    <t>In-Kind Benefit Type Component                                                                                                       (A Sum of Cost of Food Grains + Cooking Cost + Transport Assistance + MME)</t>
  </si>
  <si>
    <t>Remarks, if any</t>
  </si>
  <si>
    <t>Electronic Fund 
Transfer (in ₹)
(NEFT, RTGS, APB, NACH)</t>
  </si>
  <si>
    <t>Non-Electronic 
Fund Transfer (in ₹)
(Cash, Cheque, DD, MO)</t>
  </si>
  <si>
    <r>
      <t xml:space="preserve">Total 
Expenditure during the Month </t>
    </r>
    <r>
      <rPr>
        <b/>
        <sz val="10"/>
        <rFont val="Arial"/>
        <family val="2"/>
      </rPr>
      <t>(in ₹)  **</t>
    </r>
  </si>
  <si>
    <r>
      <t xml:space="preserve">Fund 
Transfer during the Month             </t>
    </r>
    <r>
      <rPr>
        <b/>
        <sz val="10"/>
        <rFont val="Arial"/>
        <family val="2"/>
      </rPr>
      <t>(in ₹)</t>
    </r>
  </si>
  <si>
    <r>
      <t xml:space="preserve">Total 
Expenditure during the Month </t>
    </r>
    <r>
      <rPr>
        <b/>
        <sz val="10"/>
        <rFont val="Arial"/>
        <family val="2"/>
      </rPr>
      <t>(in ₹)</t>
    </r>
  </si>
  <si>
    <t>April, 2019</t>
  </si>
  <si>
    <t>May, 2019</t>
  </si>
  <si>
    <t>June, 2019</t>
  </si>
  <si>
    <t>July, 2019</t>
  </si>
  <si>
    <t>August, 2019</t>
  </si>
  <si>
    <t>September, 2019</t>
  </si>
  <si>
    <t>October, 2019</t>
  </si>
  <si>
    <t>November, 2019</t>
  </si>
  <si>
    <t>December, 2019</t>
  </si>
  <si>
    <t xml:space="preserve">Table AT-2 B: Month wise Transfer of Funds vs Expenditure under DBT during 2019-20 </t>
  </si>
  <si>
    <t xml:space="preserve">Table: AT- 2B </t>
  </si>
  <si>
    <t xml:space="preserve">TOTAL CENTRAL SHARE - </t>
  </si>
  <si>
    <t>Notes:</t>
  </si>
  <si>
    <t>During 01.04.19 to 31.12.2019</t>
  </si>
  <si>
    <t>Kitchen-cum-store sanctioned during 2006-07 to 2019-20</t>
  </si>
  <si>
    <t>Engaged in 2019-20</t>
  </si>
  <si>
    <t>AT - 2 B</t>
  </si>
  <si>
    <t xml:space="preserve">Month wise Transfer of Funds vs Expenditure under DBT during 2019-20 </t>
  </si>
  <si>
    <t>(Amount in Rs.)</t>
  </si>
  <si>
    <t>DBT COMPONENT CENTRAL SHARE</t>
  </si>
  <si>
    <t>1.  DBT COMPONENT FUNDS  = TOTAL CENTRAL SHARE - FUNDS FOR INFRASTRUCTRE (i.e. KITCHEN SHED - KITCHEN DEVICES - KITCHEN GARDEN  ETC.)</t>
  </si>
  <si>
    <t>2. TOTAL EXPENDITURE &lt;= DBT COPONENT FUNDS</t>
  </si>
  <si>
    <t>3.. Value to be reported in absolute unit (not in Lakh, Crore, etc)</t>
  </si>
  <si>
    <t>400+1600</t>
  </si>
  <si>
    <t>400+1700</t>
  </si>
  <si>
    <t>Hot Milk</t>
  </si>
  <si>
    <t>150 ml</t>
  </si>
  <si>
    <t>5 days in week</t>
  </si>
  <si>
    <t>Flavoured Milk-Choclate</t>
  </si>
  <si>
    <t>3 days in week</t>
  </si>
  <si>
    <t>Flavoured Milk-Cardamom</t>
  </si>
  <si>
    <t>2 days in week</t>
  </si>
  <si>
    <t>NOTE:SPECIALLY  FLAVORED MILK IS PROVIDING IN MYSORE AND RAICHUR DISTRICT FOR 5 DAYS (CHACOLATE FLAVORED MILK IS PROVIDING FOR 3 DAYS AND CURDOMAM FLAVORED MILK PROVIDING FOR 2 DAYS)</t>
  </si>
  <si>
    <t>JOINT DIRECTOR</t>
  </si>
  <si>
    <t>MID DAY MEAL SCHEME</t>
  </si>
  <si>
    <t>KARNATAKA</t>
  </si>
  <si>
    <t xml:space="preserve">State / UT: KARNATAKA </t>
  </si>
  <si>
    <t>Drought</t>
  </si>
  <si>
    <t>State / UT: Karnataka</t>
  </si>
  <si>
    <t>Bengaluru North</t>
  </si>
  <si>
    <t>Bengaluru South</t>
  </si>
  <si>
    <t>Chitradurga</t>
  </si>
  <si>
    <t>Davanagere</t>
  </si>
  <si>
    <t>Shimoga</t>
  </si>
  <si>
    <t>Bangalore (R)</t>
  </si>
  <si>
    <t>Ramnagara</t>
  </si>
  <si>
    <t>Kolar</t>
  </si>
  <si>
    <t>Chikkaballapur</t>
  </si>
  <si>
    <t>Tumkur</t>
  </si>
  <si>
    <t>Tumkur Madhugiri</t>
  </si>
  <si>
    <t>Mysore</t>
  </si>
  <si>
    <t>Mandya</t>
  </si>
  <si>
    <t>Chamarajanagar</t>
  </si>
  <si>
    <t>Kodagu</t>
  </si>
  <si>
    <t>Hassan</t>
  </si>
  <si>
    <t>Chikkamagalur</t>
  </si>
  <si>
    <t>Mangalore(DK)</t>
  </si>
  <si>
    <t>Udupi</t>
  </si>
  <si>
    <t>Dharwad</t>
  </si>
  <si>
    <t>Uttara Kannada</t>
  </si>
  <si>
    <t>Uttara Kannada Sirsi</t>
  </si>
  <si>
    <t>Haveri</t>
  </si>
  <si>
    <t>Gadag</t>
  </si>
  <si>
    <t>Belagavi</t>
  </si>
  <si>
    <t>Belagavi Chikkodi</t>
  </si>
  <si>
    <t>Bagalkot</t>
  </si>
  <si>
    <t>Vijayapura</t>
  </si>
  <si>
    <t>Bidar</t>
  </si>
  <si>
    <t>Bellary</t>
  </si>
  <si>
    <t>Kalburgi</t>
  </si>
  <si>
    <t>Koppal</t>
  </si>
  <si>
    <t>Raichur</t>
  </si>
  <si>
    <t>Yadgir</t>
  </si>
  <si>
    <t>In 2 Schools Mid Day meal is served by the temple</t>
  </si>
  <si>
    <t>In 1 Schools Mid Day meal is served by the temple</t>
  </si>
  <si>
    <t xml:space="preserve">State / UT: Karnataka </t>
  </si>
  <si>
    <t xml:space="preserve">State / UT: karnataka </t>
  </si>
  <si>
    <t xml:space="preserve">STATE/UT :  Karnataka </t>
  </si>
  <si>
    <t>e-transfer</t>
  </si>
  <si>
    <t>STATE/UT:  Karnataka</t>
  </si>
  <si>
    <t>State/UT:  Karnataka</t>
  </si>
  <si>
    <t>Local Holiday</t>
  </si>
  <si>
    <t>Anticipated net working Days</t>
  </si>
  <si>
    <t>Local Holidays</t>
  </si>
  <si>
    <t>Rice  (201 days)</t>
  </si>
  <si>
    <t>Wheat (39 Days)</t>
  </si>
  <si>
    <t>Pulse 1 (Toor Dal)</t>
  </si>
  <si>
    <t>State/UT: Karnataka</t>
  </si>
  <si>
    <t>BENGALURU U NORTH</t>
  </si>
  <si>
    <t>BENGALURU U SOUTH</t>
  </si>
  <si>
    <t>CHITRADURGA</t>
  </si>
  <si>
    <t>DAVANAGERE</t>
  </si>
  <si>
    <t>BENGALURU RURAL</t>
  </si>
  <si>
    <t>RAMANAGARA</t>
  </si>
  <si>
    <t>KOLAR</t>
  </si>
  <si>
    <t>CHIKKABALLAPURA</t>
  </si>
  <si>
    <t>TUMAKURU MADHUGIRI</t>
  </si>
  <si>
    <t>TUMAKURU</t>
  </si>
  <si>
    <t>CHAMARAJANAGARA</t>
  </si>
  <si>
    <t>GADAG</t>
  </si>
  <si>
    <t>BELAGAVI CHIKKODI</t>
  </si>
  <si>
    <t>BAGALKOT</t>
  </si>
  <si>
    <t>VIJAYAPURA</t>
  </si>
  <si>
    <t>BALLARI</t>
  </si>
  <si>
    <t>KALBURGI</t>
  </si>
  <si>
    <t>KOPPAL</t>
  </si>
  <si>
    <t>RAICHUR</t>
  </si>
  <si>
    <t>YADAGIRI</t>
  </si>
  <si>
    <t>Wheat (6Days)</t>
  </si>
  <si>
    <t>*Total sanction during 2006-07 to 2018-19</t>
  </si>
  <si>
    <t>*Total Sanction during 2012-13 to 2018-19</t>
  </si>
  <si>
    <t xml:space="preserve">DATE: </t>
  </si>
  <si>
    <t xml:space="preserve">State/UT : Karnataka </t>
  </si>
  <si>
    <t>Nil</t>
  </si>
  <si>
    <t>Yadgiri</t>
  </si>
  <si>
    <t>Bengaluru urban</t>
  </si>
  <si>
    <t>State/UT : Karnataka</t>
  </si>
  <si>
    <t>State / UT:  Karnataka</t>
  </si>
  <si>
    <r>
      <t xml:space="preserve">State/UT: </t>
    </r>
    <r>
      <rPr>
        <b/>
        <u/>
        <sz val="10"/>
        <rFont val="Arial"/>
        <family val="2"/>
      </rPr>
      <t>Karnataka</t>
    </r>
  </si>
  <si>
    <t>NO</t>
  </si>
  <si>
    <t xml:space="preserve">It is In Progress </t>
  </si>
  <si>
    <t>total</t>
  </si>
  <si>
    <t>Karnataka</t>
  </si>
  <si>
    <t>2 DAYS</t>
  </si>
  <si>
    <t>Rice          (31 Days)</t>
  </si>
  <si>
    <t>TOTAL</t>
  </si>
  <si>
    <t>BELAGAVI</t>
  </si>
  <si>
    <t>BIDAR</t>
  </si>
  <si>
    <t>CHIKKAMANGALURU</t>
  </si>
  <si>
    <t>DAKSHINA KANNADA</t>
  </si>
  <si>
    <t>DHARWAD</t>
  </si>
  <si>
    <t>HASSAN</t>
  </si>
  <si>
    <t>HAVERI</t>
  </si>
  <si>
    <t>KODAGU</t>
  </si>
  <si>
    <t>MANDYA</t>
  </si>
  <si>
    <t>MYSURU</t>
  </si>
  <si>
    <t>SHIVAMOGGA</t>
  </si>
  <si>
    <t>UDUPI</t>
  </si>
  <si>
    <t>UTTARA KANNADA SIRSI</t>
  </si>
  <si>
    <t>UTTARA KANNADA</t>
  </si>
  <si>
    <t>NILL</t>
  </si>
  <si>
    <t>1st</t>
  </si>
  <si>
    <t>2nd</t>
  </si>
  <si>
    <t>3rd</t>
  </si>
  <si>
    <t>Pomplets, Jata, Banner, Drama</t>
  </si>
  <si>
    <t>Idle, Vada, Huggi, Holige, Sweet &amp; Frouits</t>
  </si>
  <si>
    <t>Steel Backet, Plate, Glass</t>
  </si>
  <si>
    <t>Nataka , Folk Songs, Rallies</t>
  </si>
  <si>
    <t>DRAMA ,SONGS ,POMPLATE &amp; FLEX</t>
  </si>
  <si>
    <t>Sweets , Fruits</t>
  </si>
  <si>
    <t>Plates, Glass</t>
  </si>
  <si>
    <t>Cooker, Mixer, Drinking Water</t>
  </si>
  <si>
    <t>Glasses and Plates</t>
  </si>
  <si>
    <t>Folk Songs, Rallies</t>
  </si>
  <si>
    <t>Egg, sweets, raagi ball, banana and others</t>
  </si>
  <si>
    <t>Sweet</t>
  </si>
  <si>
    <t>convergence</t>
  </si>
  <si>
    <t>305 (plate&amp;glass) 
steel plate stand</t>
  </si>
  <si>
    <t>COOKING FOOD WITHOUT FIRE, ELOCUTION, ESSAY, SINGING, PAINTING, DRAMA REGARDING BALANCED FOOD AND DRAWING</t>
  </si>
  <si>
    <t>POSHANA ABHIYANA</t>
  </si>
  <si>
    <t>Curds, sweets, bonda &amp; payasam</t>
  </si>
  <si>
    <t>'Folk Songs, Swach Bharath Abhiyana</t>
  </si>
  <si>
    <t>LADDU, JALEBI, JHANGIRI, PEDA, BANANA, GRAPES, WATERMALON, KESARIBHATH, CHOCOLATE, BISCUIT, CAKE</t>
  </si>
  <si>
    <t xml:space="preserve">PLATES, GLASSES, RICE COOKER </t>
  </si>
  <si>
    <t>Pickels</t>
  </si>
  <si>
    <t>Plates</t>
  </si>
  <si>
    <t>Coconut</t>
  </si>
  <si>
    <t>Hand wash unit</t>
  </si>
  <si>
    <t>Special dosa , puri baji</t>
  </si>
  <si>
    <t>' Folk Songs, Rallies</t>
  </si>
  <si>
    <t>Fruits &amp;sweets</t>
  </si>
  <si>
    <t>ataka, Floke sougs, Swacha Barta Aabiyana</t>
  </si>
  <si>
    <t>IDLI HOLIGE HUGGI SIRA</t>
  </si>
  <si>
    <t>AMS CHART/REGISTERS/RALLIES/POSHAN ABHIYANA/SWACHHA BHARATH/ect</t>
  </si>
  <si>
    <t>Banana, Sweets &amp; Fruits</t>
  </si>
  <si>
    <t>MIKSHI,  GRAINDER,  WATER PURIFIRE, STEEL GALSS AND PLATES</t>
  </si>
  <si>
    <t>Hadhihareya &amp; Hand washing Thriugh CD</t>
  </si>
  <si>
    <t>Cooks Training, Fire Extension,'&amp; Drawing Compitation</t>
  </si>
  <si>
    <t>Sweets &amp; Chacolates</t>
  </si>
  <si>
    <t>hand washing, hadhi hareya traing through ppt</t>
  </si>
  <si>
    <t>fire existing, gas agency, drawing competion in cooks traing</t>
  </si>
  <si>
    <t>430 cups, 100 plates, 1 water filter, Plates, Cookers, Mats, Cups &amp; Water filters</t>
  </si>
  <si>
    <t>In all the school of district 855</t>
  </si>
  <si>
    <t>SOP PRINT The hand washing steps images</t>
  </si>
  <si>
    <t xml:space="preserve">          Quiz, samenars/Drama Activities conducted by school level </t>
  </si>
  <si>
    <t>Weekley once eggs &amp; supplymentry vegetabel, kheer &amp; poran poli</t>
  </si>
  <si>
    <t>Akshara Kaithota - booklet published</t>
  </si>
  <si>
    <t>Kai Thutthu programme by Mothers Committee</t>
  </si>
  <si>
    <t>Do's &amp; Don'ts  and Logo are displayed in every school</t>
  </si>
  <si>
    <t>Sweet, Curd, Butter milk, Pulav, Fruits,Sweets, Payasa</t>
  </si>
  <si>
    <t>Curd, Pickle and sweet</t>
  </si>
  <si>
    <t xml:space="preserve">FOLK SONGS .DRAMA,,WRITING ESSAY ,DRAWING, SCOUTS AND GUIDES, JAMBO RIGHTSQ </t>
  </si>
  <si>
    <t>Public Health Institute Bangalore</t>
  </si>
  <si>
    <t>Bengalore North</t>
  </si>
  <si>
    <t>Akshaya Pathra Foundation</t>
  </si>
  <si>
    <t>Satisfactory</t>
  </si>
  <si>
    <t xml:space="preserve">Ganesh Consultancy And Analytical Services, Hebbalu, Mysore. </t>
  </si>
  <si>
    <t>Vsix Analyatical Labs Pvt. Ltd., Banglore   Office of the Food Analyst Divisional Food Laboratory, Belagavi Division, Tilakvadi</t>
  </si>
  <si>
    <t>satisfactory</t>
  </si>
  <si>
    <t>Office of the Food Analyst Divisional Food Laboratory, Belagavi Division, Tilakvadi</t>
  </si>
  <si>
    <t>FSSAI  Belagavi</t>
  </si>
  <si>
    <t>Satisfactory,waiting for three reports</t>
  </si>
  <si>
    <t>LUCID Laboraties Pvt.Ltd, Hyderad</t>
  </si>
  <si>
    <t>565 Plates, 215 Glass, 1 Freeze, 1 Water Filter, 1 Mixer, 1 Cooker 1 Wood Self, 50 Plates, 2 Idli Cooker, 3 Water Filter</t>
  </si>
  <si>
    <t>poornima Grameen Abhivruddi Samste"ri"jalihal Belur</t>
  </si>
  <si>
    <t>Hole Hucheswara Shikshana &amp; Grameen Abhivruddi Samste ® Guledgudda.</t>
  </si>
  <si>
    <t>Samagra Grameena Abhivruddi Seva Samste Jamakhandi.</t>
  </si>
  <si>
    <t>Savalagi Samagra Grameena Abhivruddi Seva Samste Savalagi.</t>
  </si>
  <si>
    <t>Shri Rajeshwari Stri Shakti Swa Sahaya Sangha Jagadal.</t>
  </si>
  <si>
    <t>BANGALORE RURAL</t>
  </si>
  <si>
    <t>NIL</t>
  </si>
  <si>
    <t>SAMRUDDHI SERVICE SOCIETY BELGAUM</t>
  </si>
  <si>
    <t>ADARSH EDN &amp; SOCIAL WELFARE SOCIETY BELGAUM</t>
  </si>
  <si>
    <t>UNITED SOCIAL WELFARE SOCIETY BELGAUM</t>
  </si>
  <si>
    <t>SAMARTH AGR &amp; RURAL DEVELOPMENT SANSTE M.K.HUBLE TQ: BAILHONGAL</t>
  </si>
  <si>
    <t>SHRI. M.G.C.SHIVAPPAYYA SHIVAYOGIGALA MATH UGARGOL TQ. SAVADATTI</t>
  </si>
  <si>
    <t>SHRI. GURUGADADESHWAR SANSTAN HIREMATH M.CHANDARGI TQ. RAMDURG</t>
  </si>
  <si>
    <t>BELLARY</t>
  </si>
  <si>
    <t>The Akshaya Patra Foundation , Toranagallu</t>
  </si>
  <si>
    <t>BENGALURU NORTH</t>
  </si>
  <si>
    <t>Akshaya Patre Foundation, GOKULUM</t>
  </si>
  <si>
    <t>Smt. Girija Shastri Memorial Trust, Bangalore, BBMP Bhavan, Kempegowda Nagar, Gavipuram, Bangalore-560019</t>
  </si>
  <si>
    <t>SRI ANNAPOORNA TRUST</t>
  </si>
  <si>
    <t>IPDP</t>
  </si>
  <si>
    <t>KARUNA SEVA SAMITHI</t>
  </si>
  <si>
    <t>PRIYA CHARITABLE TRUST</t>
  </si>
  <si>
    <t>ASHA KIRANA SAMASTHE</t>
  </si>
  <si>
    <t>TAJ CHARITABLE TRUST</t>
  </si>
  <si>
    <t>SRI SAI MANDALI TRUST</t>
  </si>
  <si>
    <t>SRI SATYA SAI SUBBARAMA SASTRY MEMORIAL TRUST</t>
  </si>
  <si>
    <t>THIRUPUVANAM FOUNDATION</t>
  </si>
  <si>
    <t>AKHILA KARNATAKA KANNADA KASTURI KALA SANGHA</t>
  </si>
  <si>
    <t>GIL GAL CHARITABLE TRUST</t>
  </si>
  <si>
    <t>BENGALURU SOUTH</t>
  </si>
  <si>
    <t>Akhila Karnataka Kannada Kasthuri Kala Sanga #44, B.K Industries Road, Avalahalli Anjanapura Main Road, Bangalore -560069</t>
  </si>
  <si>
    <t>Sri. Annapoorna Trust, Sri Gayathri Temple, Near Yeshwanthpura Circle, Bangalore-560022.</t>
  </si>
  <si>
    <t xml:space="preserve">Samarthnam Trust for the disabled </t>
  </si>
  <si>
    <t>Pragathi foundation,</t>
  </si>
  <si>
    <t>CHAMARAJANAGAR</t>
  </si>
  <si>
    <t xml:space="preserve"> J.S.S. Mahavidyapeeta Mysore-Yelandur </t>
  </si>
  <si>
    <t>CHIKKABALLAPUR</t>
  </si>
  <si>
    <t>CHIKKAMAGALORE</t>
  </si>
  <si>
    <t>CHIKKODI</t>
  </si>
  <si>
    <t xml:space="preserve">SHRI. GURUSHANTESHWAR JANAKALYAN PRATISTAN HIREMATH HUKKERI </t>
  </si>
  <si>
    <t>SHRI MURUGENDRA SHIVAYOGI GACHINMATH ATHANI</t>
  </si>
  <si>
    <t>PRAGATIPARA GRAMEENABHIVRUDHI SANSTE HARUGERI TQ. RAIBAG</t>
  </si>
  <si>
    <t>Akshay patra Foundetions</t>
  </si>
  <si>
    <t>Adamya Cheatan Foundation Srimt, Girija Truest</t>
  </si>
  <si>
    <t>Admmya Chetan Foundtion</t>
  </si>
  <si>
    <t>KALABURGI</t>
  </si>
  <si>
    <t xml:space="preserve">JEEJA MATA MAHILA SANGH, ALAND </t>
  </si>
  <si>
    <t>GAJANANA TARUN SANGH, ALAND</t>
  </si>
  <si>
    <t>PRATIBIMBA S. SANGH ALAND</t>
  </si>
  <si>
    <t>ANNAPURNESHWARI .V.V SANGH KALABURAGI</t>
  </si>
  <si>
    <t>ADAMY CHETANA</t>
  </si>
  <si>
    <t>BACHPAN BACHAV TALIM DILAVO TEHRIK, KALABURAGI</t>
  </si>
  <si>
    <t>SHIVAMANDIR JIRNODDHAR TRUST, CHITTAPUR, KALABURAGI</t>
  </si>
  <si>
    <t>LUMBINI V.V.SANGH KALABURAGI</t>
  </si>
  <si>
    <t xml:space="preserve">MOULANA ABUL KALAM SOCIETY, KALABURAGI </t>
  </si>
  <si>
    <t>SRI RAGHAVENDRA V.V SANGH KALABURAGI</t>
  </si>
  <si>
    <t xml:space="preserve">S.E.T.C.GADAG </t>
  </si>
  <si>
    <t>VISHWAGANGA.E.R.D.S.SEDAM</t>
  </si>
  <si>
    <t>MADHUGIRI</t>
  </si>
  <si>
    <t>NOT APPLICABLE</t>
  </si>
  <si>
    <t>MYSORE</t>
  </si>
  <si>
    <t>Akshaya patra Foundation</t>
  </si>
  <si>
    <t>RAMANAGAR</t>
  </si>
  <si>
    <t>SHIMOGA</t>
  </si>
  <si>
    <t>SIRSI</t>
  </si>
  <si>
    <t>Samarth Krushi &amp; Grameena Abhivruddi Samste M.K.Hubli</t>
  </si>
  <si>
    <t>Chaitnya Nirantar Ulitay &amp; Salgumpu Township Dandeli</t>
  </si>
  <si>
    <t xml:space="preserve">Akkmahadevi Mahila Mandal Javligalli Haliyal </t>
  </si>
  <si>
    <t>TUMKUR</t>
  </si>
  <si>
    <t>YADGIR</t>
  </si>
  <si>
    <t>Sri. Mata Manikeshwari Woman Development Society Yadagiri</t>
  </si>
  <si>
    <t>Sri. Jaganaganga Vivididdosh Education Society Maragol Tq chitapur</t>
  </si>
  <si>
    <t>Sri. Vishwaganga Education Rural Development Society Sedam</t>
  </si>
  <si>
    <t>Hemaraddy Mallamma Woman Mandali Yadagiri</t>
  </si>
  <si>
    <t>Hattikuni Jalashaya Niru Balekedarra Sahakar Sanga Hattikuni.</t>
  </si>
  <si>
    <t>Di. Narasappa Chintanalli memorial Education Society  (ri) Yadagiri</t>
  </si>
  <si>
    <t>Chetana Education &amp; Swayam Seva Sousthe Sagar</t>
  </si>
  <si>
    <t>Chanda Huseni shtri Shakti Sanga Gogi.</t>
  </si>
  <si>
    <t>Ramammadevi Shtri Shakti Sanga Vanadurga</t>
  </si>
  <si>
    <t>Sri. Vishwachetana Education and Rural Development Society Sagar</t>
  </si>
  <si>
    <t>Shrti Shakti Muslim woman Development Sanga. Sagar</t>
  </si>
  <si>
    <t>Nirmaladevi Woman Mandali Shahapur</t>
  </si>
  <si>
    <t xml:space="preserve">Rajananda Education Society Rangampheth </t>
  </si>
  <si>
    <t xml:space="preserve">1)Puri 2) Jilebi 3) Kheer 4) Shira </t>
  </si>
  <si>
    <t xml:space="preserve">1 Freeze, 2 Grinder 3 Idli Cooker 1 Big Vessel 4 Small Vessel , 3 Idli Cooker, 1200 Plates 1200 Glass </t>
  </si>
  <si>
    <t>Shivamandira Trust</t>
  </si>
  <si>
    <t>ADMYA CHETHANA</t>
  </si>
  <si>
    <t>Chiktradurga</t>
  </si>
  <si>
    <t>Tumkuru</t>
  </si>
  <si>
    <t>Bagalkote</t>
  </si>
  <si>
    <t>05.11.2019</t>
  </si>
  <si>
    <t>Students were hospitalised immedietely in the local PHC and given treatment . Got recovered.  6 teachers including HM were made suspended from duty and replaced due to their dereliction of duty in managing MDM. 
 All the 4 CCH were removed and replaced. 
SOP was enforced seriously to follow up by both CCH and Teachers.</t>
  </si>
  <si>
    <t>20.08.2019</t>
  </si>
  <si>
    <t xml:space="preserve">Food sample of MDM was collected and sent to laboratory by Food Safety Officer for quality analysis. HM &amp; teachers were issued show cause notice by CEO, ZP.
Street vendors are prohibited to sale any street food nearby schools. </t>
  </si>
  <si>
    <t>16.07.2019</t>
  </si>
  <si>
    <t xml:space="preserve">Students were hospitalized and got treated timely by local PHS and got recovered well. 
 Show cause Notice was issued by CEO, ZP to the School HM and NGO.
</t>
  </si>
  <si>
    <t>21.12.2019</t>
  </si>
  <si>
    <t xml:space="preserve">students were immediately were taken hospital and got treated well. 
Show cause notice was issued by CEO, ZP.
CCH was given final warning and properly guided for needful SOP to be followed while cooking. </t>
  </si>
  <si>
    <t>Flexi Fund (5%)</t>
  </si>
  <si>
    <t>ANNEXURE-IV</t>
  </si>
  <si>
    <t>Sl No.</t>
  </si>
  <si>
    <t>Districts</t>
  </si>
  <si>
    <t xml:space="preserve">Number of days </t>
  </si>
  <si>
    <t>Transportation Assistance (Rs. In lakhs)</t>
  </si>
  <si>
    <t>State Share (1.99/Child)</t>
  </si>
  <si>
    <t>Central Share (2.98/Child)</t>
  </si>
  <si>
    <t>Central Share (4.47/Child)</t>
  </si>
  <si>
    <t>State Share (2.98/Child)</t>
  </si>
  <si>
    <t>State / UT: KARNATAKA</t>
  </si>
  <si>
    <t>1) menu chart, 2) fire exisiting demo from Fire office, 3) model of apron Set  consisting of fire proof apron, hand gloves, head cap</t>
  </si>
  <si>
    <r>
      <t>Note: 1293 kitchen sheds that were sanctioned to un divided Gulbarga district during  2006-07 were not started due to technical reasons. Therefore the State requested that central assistance may be provided for the construction of these kitchen cum stores as per new SR and plinth area norms . The proposal of the State fpr 1293 kitchen sheds as per plinth area and new SR rate norms has been approved  in March 2018  (The total cost to be incurred towards this in 60:40 sharing pattern is 5795.92 lakh.)stating that, the State Government may utilize central assistance of  Rs 775.80 lakh lying with it since 2007-08 as 1</t>
    </r>
    <r>
      <rPr>
        <vertAlign val="superscript"/>
        <sz val="12"/>
        <rFont val="Times New Roman"/>
        <family val="1"/>
      </rPr>
      <t>st</t>
    </r>
    <r>
      <rPr>
        <sz val="12"/>
        <rFont val="Times New Roman"/>
        <family val="1"/>
      </rPr>
      <t xml:space="preserve"> installment  for the construction of 1293 with a condition of  releasing  the 40% mandatory State share of  Rs 517.20 lakh against 60% central share of  Rs 775.80 lakh and start the construction work at once and complete it by 12 months. </t>
    </r>
    <r>
      <rPr>
        <sz val="12"/>
        <color rgb="FFFF0000"/>
        <rFont val="Times New Roman"/>
        <family val="1"/>
      </rPr>
      <t/>
    </r>
  </si>
  <si>
    <t>Depratment officials like SADPI, ADPI from MDM, 
DDPI, BEO, BRC, BRP, ECO and CRP from dept of school education. Department official like fire safety crew, fire extinguisher police personnels from fire brigade office. Gas safety demo officials from local LPG agency.
Food safety officers,
 Taluk health education officers  from health and family welfair dept.</t>
  </si>
  <si>
    <t>BANGALORE URBAN</t>
  </si>
  <si>
    <t xml:space="preserve">TUMAKURU </t>
  </si>
  <si>
    <t>Bangalore Urban</t>
  </si>
  <si>
    <t xml:space="preserve">No. of working days (During 01.04.2019 to 31.03.2020)                  </t>
  </si>
  <si>
    <t>No. of children (Primary 1 to 5)</t>
  </si>
  <si>
    <t>Number of children (6 to 8)</t>
  </si>
  <si>
    <t>Cooking cost (Rs. In lakhs) (primary)</t>
  </si>
  <si>
    <t>Cooking cost (Rs. In lakhs) 
(up primary)</t>
  </si>
  <si>
    <t xml:space="preserve">Requirement of funds and foodgrains for Provision of MDM during summer vacations during COVID-19 in 2020-21(Primary Classes I to VIII) </t>
  </si>
  <si>
    <t>Incident occurred and reported from Govt Higher primary School, Hosamantamuri, Belagavi Distric. due to fallen lizard in cooked rice supplied by NGO (United Social welfare Organization). 69 students were suffered upset after receiving MDM. They were immediately carried to hospital and got treated.</t>
  </si>
  <si>
    <t xml:space="preserve">Incident occurred and reported from Govt Girls High school, Belagali, Mudhol Taluk, Bagalokote District. due to negligent act in following SOP and mishandling by CCH in using onion and potato vegetables while cooking sambar. Investigation found that onion and potato were soaked with  kerosene before bringing from market and not thoroughly washed and directly used up in cooking sambar, which caused stomach upset and smelling.  </t>
  </si>
  <si>
    <t xml:space="preserve">Incident occurred and reported from Govt Higher primary School, Channabasaiahna hatti, Challekere Taluk, Chitradurga Dist. Students were made upset due to falling of lizard in cooked sambar. After investigation found that negligence of CCH in maintaining  cleanness in kitchen room and teachers were found neglected in tasting of cooked food before serving.  </t>
  </si>
  <si>
    <t>Incident occurred and reported from Govt High School, Kanakuppe Hebbur Hobli, Tumkur District. Students were made upset due to feel of food poison in cooked sambar and rice. After investigation found that no food poison in sambar and rice of MDM. But it was happed after receiving MDM, due to consuming of street food like ice cream &amp; samosa prepared &amp; sold by outside vendor</t>
  </si>
  <si>
    <t>D GROUP</t>
  </si>
  <si>
    <t>JD/ASST NUTRITION OFFICER/SADPI/EO</t>
  </si>
  <si>
    <t>ADPI/ACCOUNT SUPDT/GEZETTED MANAGER</t>
  </si>
  <si>
    <t>SUPDT/ASO/FDA/SDA</t>
  </si>
  <si>
    <t>1) Do's &amp; Don't Do's Chart        2) 19-20 Menu Chart</t>
  </si>
  <si>
    <t>Folk Songs</t>
  </si>
  <si>
    <t>Nataka, Folk Songs</t>
  </si>
  <si>
    <t>Rice (253 Days)</t>
  </si>
  <si>
    <t>Wheat ( 60 Days)</t>
  </si>
  <si>
    <t>DRAMA ,SONGS, Printing Madule.</t>
  </si>
  <si>
    <t>SOP PRINT, MENU CHART</t>
  </si>
  <si>
    <t>NATAKA, SWACCHA BHARAT ABHIYAN, FOLK SONG.</t>
  </si>
  <si>
    <t>Rice          (43 Days)</t>
  </si>
  <si>
    <t>Wheat (8 Days)</t>
  </si>
  <si>
    <t xml:space="preserve">BELAGAVI </t>
  </si>
  <si>
    <t>Required Food grains (in MT's )</t>
  </si>
  <si>
    <t>Cost of Foodgrains (Rs.3000/MT's)</t>
  </si>
</sst>
</file>

<file path=xl/styles.xml><?xml version="1.0" encoding="utf-8"?>
<styleSheet xmlns="http://schemas.openxmlformats.org/spreadsheetml/2006/main">
  <numFmts count="7">
    <numFmt numFmtId="6" formatCode="&quot;$&quot;#,##0_);[Red]\(&quot;$&quot;#,##0\)"/>
    <numFmt numFmtId="164" formatCode="[$-409]d/mmm/yyyy;@"/>
    <numFmt numFmtId="165" formatCode="0.000"/>
    <numFmt numFmtId="166" formatCode="_(* #,##0_);_(* \(#,##0\);_(* &quot;-&quot;??_);_(@_)"/>
    <numFmt numFmtId="167" formatCode="0.0"/>
    <numFmt numFmtId="168" formatCode="0.0000"/>
    <numFmt numFmtId="169" formatCode="0.0000000"/>
  </numFmts>
  <fonts count="10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sz val="10"/>
      <color theme="1"/>
      <name val="Cambria"/>
      <family val="1"/>
      <scheme val="major"/>
    </font>
    <font>
      <sz val="11"/>
      <color theme="1"/>
      <name val="Arial"/>
      <family val="2"/>
    </font>
    <font>
      <b/>
      <sz val="10"/>
      <color theme="1"/>
      <name val="Arial"/>
      <family val="2"/>
    </font>
    <font>
      <u/>
      <sz val="10"/>
      <color theme="10"/>
      <name val="Arial"/>
      <family val="2"/>
    </font>
    <font>
      <b/>
      <sz val="10"/>
      <name val="Calibri"/>
      <family val="2"/>
    </font>
    <font>
      <sz val="12"/>
      <color rgb="FFFF0000"/>
      <name val="Arial"/>
      <family val="2"/>
    </font>
    <font>
      <sz val="12"/>
      <color theme="1"/>
      <name val="Arial"/>
      <family val="2"/>
    </font>
    <font>
      <b/>
      <sz val="12"/>
      <color theme="1"/>
      <name val="Arial"/>
      <family val="2"/>
    </font>
    <font>
      <sz val="13"/>
      <name val="Arial"/>
      <family val="2"/>
    </font>
    <font>
      <sz val="10"/>
      <name val="Arial"/>
      <family val="2"/>
    </font>
    <font>
      <sz val="10"/>
      <color theme="1"/>
      <name val="Calibri"/>
      <family val="2"/>
      <scheme val="minor"/>
    </font>
    <font>
      <sz val="10"/>
      <name val="Cambria"/>
      <family val="1"/>
      <scheme val="major"/>
    </font>
    <font>
      <b/>
      <sz val="10"/>
      <name val="Cambria"/>
      <family val="1"/>
      <scheme val="major"/>
    </font>
    <font>
      <sz val="12"/>
      <name val="Times New Roman"/>
      <family val="1"/>
    </font>
    <font>
      <vertAlign val="superscript"/>
      <sz val="12"/>
      <name val="Times New Roman"/>
      <family val="1"/>
    </font>
    <font>
      <b/>
      <i/>
      <sz val="72"/>
      <color theme="1"/>
      <name val="Calibri"/>
      <family val="2"/>
      <scheme val="minor"/>
    </font>
    <font>
      <sz val="10"/>
      <color indexed="8"/>
      <name val="Arial"/>
      <family val="2"/>
    </font>
    <font>
      <sz val="10"/>
      <color theme="1"/>
      <name val="Arial"/>
      <family val="2"/>
    </font>
    <font>
      <b/>
      <i/>
      <sz val="12"/>
      <color theme="1"/>
      <name val="Calibri"/>
      <family val="2"/>
      <scheme val="minor"/>
    </font>
    <font>
      <b/>
      <i/>
      <sz val="11"/>
      <name val="Trebuchet MS"/>
      <family val="2"/>
    </font>
    <font>
      <b/>
      <sz val="22"/>
      <name val="Arial"/>
      <family val="2"/>
    </font>
    <font>
      <sz val="11"/>
      <name val="Cambria"/>
      <family val="1"/>
      <scheme val="major"/>
    </font>
    <font>
      <b/>
      <sz val="11"/>
      <name val="Cambria"/>
      <family val="1"/>
      <scheme val="major"/>
    </font>
    <font>
      <sz val="12"/>
      <name val="Cambria"/>
      <family val="1"/>
      <scheme val="major"/>
    </font>
    <font>
      <b/>
      <i/>
      <sz val="10"/>
      <name val="Cambria"/>
      <family val="1"/>
      <scheme val="major"/>
    </font>
    <font>
      <b/>
      <i/>
      <sz val="11"/>
      <name val="Cambria"/>
      <family val="1"/>
      <scheme val="major"/>
    </font>
    <font>
      <b/>
      <sz val="12"/>
      <name val="Cambria"/>
      <family val="1"/>
      <scheme val="major"/>
    </font>
    <font>
      <b/>
      <i/>
      <sz val="36"/>
      <name val="Trebuchet MS"/>
      <family val="2"/>
    </font>
    <font>
      <b/>
      <sz val="14"/>
      <name val="Cambria"/>
      <family val="1"/>
      <scheme val="major"/>
    </font>
    <font>
      <sz val="12"/>
      <color rgb="FFFF0000"/>
      <name val="Times New Roman"/>
      <family val="1"/>
    </font>
    <font>
      <b/>
      <sz val="11"/>
      <color indexed="8"/>
      <name val="Cambria"/>
      <family val="1"/>
      <scheme val="major"/>
    </font>
    <font>
      <sz val="11"/>
      <color indexed="8"/>
      <name val="Cambria"/>
      <family val="1"/>
      <scheme val="major"/>
    </font>
    <font>
      <b/>
      <i/>
      <sz val="10"/>
      <color theme="1"/>
      <name val="Trebuchet MS"/>
      <family val="2"/>
    </font>
    <font>
      <sz val="12"/>
      <color theme="1"/>
      <name val="Times New Roman"/>
      <family val="1"/>
    </font>
    <font>
      <b/>
      <sz val="12"/>
      <color theme="1"/>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s>
  <cellStyleXfs count="33">
    <xf numFmtId="0" fontId="0" fillId="0" borderId="0"/>
    <xf numFmtId="0" fontId="54" fillId="0" borderId="0"/>
    <xf numFmtId="0" fontId="54" fillId="0" borderId="0"/>
    <xf numFmtId="0" fontId="14" fillId="0" borderId="0"/>
    <xf numFmtId="0" fontId="14" fillId="0" borderId="0"/>
    <xf numFmtId="0" fontId="14" fillId="0" borderId="0"/>
    <xf numFmtId="0" fontId="69" fillId="0" borderId="0" applyNumberFormat="0" applyFill="0" applyBorder="0" applyAlignment="0" applyProtection="0"/>
    <xf numFmtId="0" fontId="8" fillId="0" borderId="0"/>
    <xf numFmtId="9" fontId="75" fillId="0" borderId="0" applyFont="0" applyFill="0" applyBorder="0" applyAlignment="0" applyProtection="0"/>
    <xf numFmtId="0" fontId="14" fillId="0" borderId="0"/>
    <xf numFmtId="6" fontId="14" fillId="0" borderId="0" applyFont="0" applyFill="0" applyBorder="0" applyAlignment="0" applyProtection="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22">
    <xf numFmtId="0" fontId="0" fillId="0" borderId="0" xfId="0"/>
    <xf numFmtId="0" fontId="9"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xf>
    <xf numFmtId="0" fontId="9" fillId="0" borderId="3" xfId="0" applyFont="1" applyBorder="1" applyAlignment="1">
      <alignment horizontal="center"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0" xfId="0" applyFill="1" applyBorder="1" applyAlignment="1">
      <alignment horizontal="left"/>
    </xf>
    <xf numFmtId="0" fontId="9" fillId="0" borderId="0" xfId="0" applyFont="1" applyBorder="1" applyAlignment="1">
      <alignment horizontal="center"/>
    </xf>
    <xf numFmtId="0" fontId="0" fillId="0" borderId="0" xfId="0" applyBorder="1"/>
    <xf numFmtId="0" fontId="13" fillId="0" borderId="0" xfId="0" applyFont="1"/>
    <xf numFmtId="0" fontId="9" fillId="0" borderId="0" xfId="0" applyFont="1"/>
    <xf numFmtId="0" fontId="14" fillId="0" borderId="0" xfId="0" applyFont="1"/>
    <xf numFmtId="0" fontId="9" fillId="0" borderId="0" xfId="0" applyFont="1" applyBorder="1" applyAlignment="1">
      <alignment horizontal="right"/>
    </xf>
    <xf numFmtId="0" fontId="14" fillId="0" borderId="2" xfId="0" applyFont="1" applyBorder="1" applyAlignment="1">
      <alignment horizontal="center"/>
    </xf>
    <xf numFmtId="0" fontId="14" fillId="0" borderId="2" xfId="0" applyFont="1" applyBorder="1"/>
    <xf numFmtId="0" fontId="14" fillId="0" borderId="0" xfId="0" applyFont="1" applyFill="1" applyBorder="1" applyAlignment="1">
      <alignment horizontal="left"/>
    </xf>
    <xf numFmtId="0" fontId="14" fillId="0" borderId="0" xfId="0" applyFont="1" applyBorder="1"/>
    <xf numFmtId="0" fontId="16" fillId="0" borderId="0" xfId="0" applyFont="1" applyAlignment="1">
      <alignment horizontal="center"/>
    </xf>
    <xf numFmtId="0" fontId="16" fillId="0" borderId="0" xfId="0" applyFont="1" applyBorder="1" applyAlignment="1">
      <alignment horizontal="center"/>
    </xf>
    <xf numFmtId="0" fontId="14" fillId="0" borderId="0" xfId="0" applyFont="1" applyBorder="1" applyAlignment="1">
      <alignment horizontal="left"/>
    </xf>
    <xf numFmtId="0" fontId="9" fillId="0" borderId="6" xfId="0" applyFont="1" applyFill="1" applyBorder="1" applyAlignment="1">
      <alignment horizontal="center" vertical="top" wrapText="1"/>
    </xf>
    <xf numFmtId="0" fontId="9" fillId="0" borderId="2" xfId="0" applyFont="1" applyFill="1" applyBorder="1" applyAlignment="1">
      <alignment horizontal="center" vertical="top" wrapText="1"/>
    </xf>
    <xf numFmtId="0" fontId="14" fillId="0" borderId="5" xfId="0" applyFont="1" applyBorder="1"/>
    <xf numFmtId="0" fontId="9" fillId="0" borderId="2" xfId="0" applyFont="1" applyBorder="1"/>
    <xf numFmtId="0" fontId="9" fillId="0" borderId="0" xfId="0" applyFont="1" applyBorder="1"/>
    <xf numFmtId="0" fontId="9" fillId="0" borderId="0" xfId="0" applyFont="1" applyAlignment="1">
      <alignment horizontal="left"/>
    </xf>
    <xf numFmtId="0" fontId="9" fillId="0" borderId="0" xfId="0" applyFont="1" applyAlignment="1">
      <alignment horizontal="right"/>
    </xf>
    <xf numFmtId="0" fontId="9" fillId="0" borderId="1" xfId="0" applyFont="1" applyFill="1" applyBorder="1" applyAlignment="1">
      <alignment horizontal="center" vertical="top" wrapText="1"/>
    </xf>
    <xf numFmtId="0" fontId="14" fillId="0" borderId="0" xfId="0" applyFont="1" applyBorder="1" applyAlignment="1">
      <alignment vertical="top"/>
    </xf>
    <xf numFmtId="0" fontId="9" fillId="0" borderId="0" xfId="0" applyFont="1" applyAlignment="1"/>
    <xf numFmtId="0" fontId="14" fillId="0" borderId="0" xfId="0" applyFont="1" applyAlignment="1">
      <alignment vertical="top" wrapText="1"/>
    </xf>
    <xf numFmtId="0" fontId="14" fillId="0" borderId="2" xfId="0" applyFont="1" applyBorder="1" applyAlignment="1">
      <alignment vertical="top" wrapText="1"/>
    </xf>
    <xf numFmtId="0" fontId="9" fillId="0" borderId="2" xfId="0" applyFont="1" applyBorder="1" applyAlignment="1">
      <alignment vertical="top" wrapText="1"/>
    </xf>
    <xf numFmtId="0" fontId="13" fillId="0" borderId="0" xfId="0" applyFont="1" applyAlignment="1">
      <alignment horizontal="center"/>
    </xf>
    <xf numFmtId="0" fontId="10" fillId="0" borderId="0" xfId="0" applyFont="1" applyAlignment="1">
      <alignment horizontal="right"/>
    </xf>
    <xf numFmtId="0" fontId="14" fillId="0" borderId="0" xfId="0" applyFont="1" applyBorder="1" applyAlignment="1">
      <alignment horizontal="left" wrapText="1"/>
    </xf>
    <xf numFmtId="0" fontId="10" fillId="0" borderId="0" xfId="0" applyFont="1" applyAlignment="1"/>
    <xf numFmtId="0" fontId="18" fillId="0" borderId="0" xfId="0" applyFont="1" applyAlignment="1"/>
    <xf numFmtId="0" fontId="19" fillId="0" borderId="0" xfId="0" applyFont="1" applyAlignment="1"/>
    <xf numFmtId="0" fontId="12" fillId="0" borderId="0" xfId="0" applyFont="1" applyAlignment="1">
      <alignment horizontal="center" wrapText="1"/>
    </xf>
    <xf numFmtId="0" fontId="12" fillId="0" borderId="0" xfId="0" applyFont="1" applyAlignment="1">
      <alignment horizontal="center"/>
    </xf>
    <xf numFmtId="0" fontId="21" fillId="0" borderId="0" xfId="0" applyFont="1" applyAlignment="1">
      <alignment horizontal="right"/>
    </xf>
    <xf numFmtId="0" fontId="20" fillId="0" borderId="0" xfId="0" applyFont="1"/>
    <xf numFmtId="0" fontId="22" fillId="0" borderId="2" xfId="0" applyFont="1" applyBorder="1" applyAlignment="1">
      <alignment horizontal="center"/>
    </xf>
    <xf numFmtId="0" fontId="22" fillId="0" borderId="2" xfId="0" applyFont="1" applyBorder="1" applyAlignment="1">
      <alignment horizontal="center" vertical="top" wrapText="1"/>
    </xf>
    <xf numFmtId="0" fontId="20" fillId="0" borderId="2" xfId="0" applyFont="1" applyBorder="1"/>
    <xf numFmtId="0" fontId="20" fillId="0" borderId="2" xfId="0" applyFont="1" applyBorder="1" applyAlignment="1">
      <alignment horizontal="center"/>
    </xf>
    <xf numFmtId="0" fontId="22" fillId="0" borderId="0" xfId="0" applyFont="1"/>
    <xf numFmtId="0" fontId="20" fillId="0" borderId="0" xfId="0" applyFont="1" applyBorder="1"/>
    <xf numFmtId="0" fontId="20" fillId="0" borderId="0" xfId="0" applyFont="1" applyAlignment="1">
      <alignment horizontal="center" vertical="top" wrapText="1"/>
    </xf>
    <xf numFmtId="0" fontId="20" fillId="0" borderId="0" xfId="0" applyFont="1" applyAlignment="1">
      <alignment vertical="top" wrapText="1"/>
    </xf>
    <xf numFmtId="0" fontId="20" fillId="0" borderId="2" xfId="0" applyFont="1" applyBorder="1" applyAlignment="1">
      <alignment horizontal="center" vertical="top" wrapText="1"/>
    </xf>
    <xf numFmtId="0" fontId="20" fillId="0" borderId="2" xfId="0" applyFont="1" applyBorder="1" applyAlignment="1">
      <alignment vertical="top" wrapText="1"/>
    </xf>
    <xf numFmtId="0" fontId="22" fillId="0" borderId="2" xfId="0" applyFont="1" applyBorder="1" applyAlignment="1">
      <alignment vertical="top" wrapText="1"/>
    </xf>
    <xf numFmtId="0" fontId="22" fillId="0" borderId="2" xfId="0" applyFont="1" applyFill="1" applyBorder="1" applyAlignment="1">
      <alignment vertical="top" wrapText="1"/>
    </xf>
    <xf numFmtId="0" fontId="20" fillId="0" borderId="0" xfId="0" applyFont="1" applyBorder="1" applyAlignment="1">
      <alignment vertical="top" wrapText="1"/>
    </xf>
    <xf numFmtId="0" fontId="22" fillId="0" borderId="0" xfId="0" applyFont="1" applyFill="1" applyBorder="1" applyAlignment="1">
      <alignment vertical="top" wrapText="1"/>
    </xf>
    <xf numFmtId="0" fontId="20" fillId="0" borderId="0" xfId="0" applyFont="1" applyBorder="1" applyAlignment="1">
      <alignment horizontal="center" vertical="top" wrapText="1"/>
    </xf>
    <xf numFmtId="0" fontId="23" fillId="0" borderId="0" xfId="0" applyFont="1" applyAlignment="1">
      <alignment horizontal="center" vertical="top" wrapText="1"/>
    </xf>
    <xf numFmtId="0" fontId="17" fillId="0" borderId="2" xfId="0" applyFont="1" applyBorder="1" applyAlignment="1">
      <alignment horizontal="center" vertical="top" wrapText="1"/>
    </xf>
    <xf numFmtId="0" fontId="17" fillId="0" borderId="0" xfId="0" applyFont="1"/>
    <xf numFmtId="0" fontId="24" fillId="0" borderId="2" xfId="0" applyFont="1" applyBorder="1" applyAlignment="1">
      <alignment horizontal="center" vertical="top" wrapText="1"/>
    </xf>
    <xf numFmtId="0" fontId="24" fillId="0" borderId="2" xfId="0" applyFont="1" applyBorder="1" applyAlignment="1">
      <alignment horizontal="center" vertical="top"/>
    </xf>
    <xf numFmtId="0" fontId="9" fillId="0" borderId="2" xfId="0" applyFont="1" applyBorder="1" applyAlignment="1">
      <alignment horizontal="center" vertical="top"/>
    </xf>
    <xf numFmtId="0" fontId="24" fillId="0" borderId="0" xfId="0" applyFont="1"/>
    <xf numFmtId="0" fontId="24" fillId="0" borderId="2" xfId="0" quotePrefix="1" applyFont="1" applyBorder="1" applyAlignment="1">
      <alignment horizontal="center" vertical="top" wrapText="1"/>
    </xf>
    <xf numFmtId="0" fontId="22" fillId="0" borderId="2" xfId="0" applyFont="1" applyBorder="1" applyAlignment="1">
      <alignment horizontal="center" wrapText="1"/>
    </xf>
    <xf numFmtId="0" fontId="14" fillId="0" borderId="0" xfId="0" quotePrefix="1" applyFont="1" applyBorder="1" applyAlignment="1">
      <alignment horizontal="center"/>
    </xf>
    <xf numFmtId="0" fontId="26" fillId="0" borderId="0" xfId="1" applyFont="1"/>
    <xf numFmtId="0" fontId="27" fillId="0" borderId="2" xfId="1" applyFont="1" applyBorder="1" applyAlignment="1">
      <alignment horizontal="center" vertical="top" wrapText="1"/>
    </xf>
    <xf numFmtId="0" fontId="54" fillId="0" borderId="0" xfId="1"/>
    <xf numFmtId="0" fontId="54" fillId="0" borderId="0" xfId="1" applyAlignment="1">
      <alignment horizontal="left"/>
    </xf>
    <xf numFmtId="0" fontId="28" fillId="0" borderId="0" xfId="1" applyFont="1" applyAlignment="1">
      <alignment horizontal="left"/>
    </xf>
    <xf numFmtId="0" fontId="54" fillId="0" borderId="7" xfId="1" applyBorder="1" applyAlignment="1">
      <alignment horizontal="center"/>
    </xf>
    <xf numFmtId="0" fontId="25" fillId="0" borderId="0" xfId="1" applyFont="1"/>
    <xf numFmtId="0" fontId="25" fillId="0" borderId="0" xfId="1" applyFont="1" applyAlignment="1">
      <alignment horizontal="center"/>
    </xf>
    <xf numFmtId="0" fontId="54" fillId="0" borderId="2" xfId="1" applyBorder="1"/>
    <xf numFmtId="0" fontId="54" fillId="0" borderId="0" xfId="1" applyBorder="1"/>
    <xf numFmtId="0" fontId="9" fillId="0" borderId="0" xfId="0" applyFont="1" applyAlignment="1">
      <alignment vertical="top" wrapText="1"/>
    </xf>
    <xf numFmtId="0" fontId="29" fillId="0" borderId="3" xfId="1" applyFont="1" applyBorder="1" applyAlignment="1">
      <alignment horizontal="center" vertical="top" wrapText="1"/>
    </xf>
    <xf numFmtId="0" fontId="29" fillId="0" borderId="2" xfId="1" applyFont="1" applyBorder="1" applyAlignment="1">
      <alignment horizontal="center" vertical="top" wrapText="1"/>
    </xf>
    <xf numFmtId="0" fontId="25" fillId="0" borderId="0" xfId="1" applyFont="1" applyBorder="1" applyAlignment="1">
      <alignment horizontal="left"/>
    </xf>
    <xf numFmtId="0" fontId="14" fillId="0" borderId="0" xfId="3"/>
    <xf numFmtId="0" fontId="19" fillId="0" borderId="0" xfId="3" applyFont="1" applyAlignment="1">
      <alignment horizontal="center"/>
    </xf>
    <xf numFmtId="0" fontId="12" fillId="0" borderId="0" xfId="3" applyFont="1" applyAlignment="1">
      <alignment horizontal="center"/>
    </xf>
    <xf numFmtId="0" fontId="11" fillId="0" borderId="0" xfId="3" applyFont="1"/>
    <xf numFmtId="0" fontId="9" fillId="0" borderId="2" xfId="3" applyFont="1" applyBorder="1" applyAlignment="1">
      <alignment horizontal="center"/>
    </xf>
    <xf numFmtId="0" fontId="9" fillId="0" borderId="2" xfId="3" applyFont="1" applyBorder="1" applyAlignment="1">
      <alignment horizontal="center" vertical="top" wrapText="1"/>
    </xf>
    <xf numFmtId="0" fontId="9" fillId="0" borderId="4" xfId="3" applyFont="1" applyBorder="1" applyAlignment="1">
      <alignment horizontal="center" vertical="top" wrapText="1"/>
    </xf>
    <xf numFmtId="0" fontId="14" fillId="0" borderId="2" xfId="3" applyBorder="1" applyAlignment="1">
      <alignment horizontal="center"/>
    </xf>
    <xf numFmtId="0" fontId="14" fillId="0" borderId="2" xfId="3" applyBorder="1"/>
    <xf numFmtId="0" fontId="14" fillId="0" borderId="0" xfId="3" applyFill="1" applyBorder="1" applyAlignment="1">
      <alignment horizontal="left"/>
    </xf>
    <xf numFmtId="0" fontId="9" fillId="0" borderId="0" xfId="3" applyFont="1" applyBorder="1" applyAlignment="1">
      <alignment horizontal="center"/>
    </xf>
    <xf numFmtId="0" fontId="14" fillId="0" borderId="0" xfId="3" applyBorder="1"/>
    <xf numFmtId="0" fontId="13" fillId="0" borderId="0" xfId="3" applyFont="1"/>
    <xf numFmtId="0" fontId="9" fillId="0" borderId="0" xfId="3" applyFont="1"/>
    <xf numFmtId="0" fontId="10" fillId="0" borderId="0" xfId="3" applyFont="1" applyAlignment="1"/>
    <xf numFmtId="0" fontId="24" fillId="0" borderId="7" xfId="0" applyFont="1" applyBorder="1" applyAlignment="1"/>
    <xf numFmtId="0" fontId="9" fillId="0" borderId="6" xfId="0" applyFont="1" applyBorder="1" applyAlignment="1">
      <alignment horizontal="center" vertical="top" wrapText="1"/>
    </xf>
    <xf numFmtId="0" fontId="10" fillId="0" borderId="0" xfId="0" applyFont="1" applyAlignment="1">
      <alignment horizontal="center"/>
    </xf>
    <xf numFmtId="0" fontId="9" fillId="0" borderId="9" xfId="0" applyFont="1" applyFill="1" applyBorder="1" applyAlignment="1">
      <alignment horizontal="center" vertical="top" wrapText="1"/>
    </xf>
    <xf numFmtId="0" fontId="14" fillId="0" borderId="2" xfId="0" applyFont="1" applyBorder="1" applyAlignment="1">
      <alignment horizontal="center" vertical="center" wrapText="1"/>
    </xf>
    <xf numFmtId="0" fontId="13" fillId="0" borderId="0" xfId="0" applyFont="1" applyAlignment="1"/>
    <xf numFmtId="0" fontId="26" fillId="0" borderId="2" xfId="1" applyFont="1" applyBorder="1"/>
    <xf numFmtId="0" fontId="26" fillId="0" borderId="2" xfId="1" applyFont="1" applyBorder="1" applyAlignment="1">
      <alignment wrapText="1"/>
    </xf>
    <xf numFmtId="0" fontId="26" fillId="0" borderId="2" xfId="1" applyFont="1" applyBorder="1" applyAlignment="1"/>
    <xf numFmtId="0" fontId="26" fillId="0" borderId="0" xfId="1" applyFont="1" applyBorder="1"/>
    <xf numFmtId="0" fontId="9" fillId="0" borderId="10" xfId="0" applyFont="1" applyFill="1" applyBorder="1" applyAlignment="1">
      <alignment horizontal="center" vertical="top" wrapText="1"/>
    </xf>
    <xf numFmtId="0" fontId="24" fillId="0" borderId="0" xfId="0" applyFont="1" applyBorder="1" applyAlignment="1"/>
    <xf numFmtId="0" fontId="12" fillId="0" borderId="0" xfId="0" applyFont="1" applyAlignment="1"/>
    <xf numFmtId="0" fontId="17" fillId="0" borderId="0" xfId="0" applyFont="1" applyBorder="1"/>
    <xf numFmtId="0" fontId="31" fillId="0" borderId="0" xfId="1" applyFont="1"/>
    <xf numFmtId="0" fontId="54" fillId="0" borderId="2" xfId="1" applyBorder="1" applyAlignment="1">
      <alignment horizontal="center"/>
    </xf>
    <xf numFmtId="0" fontId="20" fillId="0" borderId="0" xfId="0" applyFont="1" applyBorder="1" applyAlignment="1"/>
    <xf numFmtId="0" fontId="9" fillId="0" borderId="0" xfId="0" applyFont="1" applyBorder="1" applyAlignment="1">
      <alignment horizontal="center" vertical="top"/>
    </xf>
    <xf numFmtId="0" fontId="9" fillId="0" borderId="0" xfId="0" applyFont="1" applyBorder="1" applyAlignment="1">
      <alignment horizontal="center" vertical="top" wrapText="1"/>
    </xf>
    <xf numFmtId="0" fontId="26" fillId="0" borderId="2" xfId="1" applyFont="1" applyBorder="1" applyAlignment="1">
      <alignment horizontal="center"/>
    </xf>
    <xf numFmtId="0" fontId="9" fillId="0" borderId="0" xfId="3" applyFont="1" applyBorder="1"/>
    <xf numFmtId="0" fontId="25" fillId="0" borderId="0" xfId="1" applyFont="1" applyBorder="1" applyAlignment="1">
      <alignment horizontal="center"/>
    </xf>
    <xf numFmtId="0" fontId="13" fillId="0" borderId="0" xfId="0" applyFont="1" applyBorder="1"/>
    <xf numFmtId="0" fontId="27" fillId="0" borderId="3" xfId="1" applyFont="1" applyBorder="1" applyAlignment="1">
      <alignment horizontal="center" vertical="top" wrapText="1"/>
    </xf>
    <xf numFmtId="0" fontId="9" fillId="0" borderId="0" xfId="0" applyFont="1" applyAlignment="1">
      <alignment horizontal="right" vertical="top" wrapText="1"/>
    </xf>
    <xf numFmtId="0" fontId="9" fillId="0" borderId="0" xfId="0" applyFont="1" applyAlignment="1">
      <alignment horizontal="center" vertical="top" wrapText="1"/>
    </xf>
    <xf numFmtId="0" fontId="18" fillId="0" borderId="0" xfId="0" applyFont="1" applyAlignment="1">
      <alignment horizontal="center"/>
    </xf>
    <xf numFmtId="0" fontId="14" fillId="0" borderId="0" xfId="0" applyFont="1" applyAlignment="1">
      <alignment horizontal="center"/>
    </xf>
    <xf numFmtId="0" fontId="13" fillId="0" borderId="0" xfId="3" applyFont="1" applyAlignment="1">
      <alignment horizontal="center"/>
    </xf>
    <xf numFmtId="0" fontId="25" fillId="0" borderId="2" xfId="1" applyFont="1" applyBorder="1" applyAlignment="1">
      <alignment horizontal="center"/>
    </xf>
    <xf numFmtId="0" fontId="25" fillId="0" borderId="0" xfId="1" applyFont="1" applyAlignment="1">
      <alignment horizontal="center" vertical="top" wrapText="1"/>
    </xf>
    <xf numFmtId="0" fontId="25" fillId="0" borderId="2" xfId="1" applyFont="1" applyBorder="1" applyAlignment="1">
      <alignment horizontal="center" vertical="top" wrapText="1"/>
    </xf>
    <xf numFmtId="0" fontId="18" fillId="0" borderId="0" xfId="3" applyFont="1" applyAlignment="1"/>
    <xf numFmtId="0" fontId="24" fillId="0" borderId="0" xfId="0" applyFont="1" applyBorder="1" applyAlignment="1">
      <alignment horizontal="center"/>
    </xf>
    <xf numFmtId="0" fontId="9" fillId="0" borderId="10" xfId="3" applyFont="1" applyFill="1" applyBorder="1" applyAlignment="1">
      <alignment horizontal="center" vertical="top" wrapText="1"/>
    </xf>
    <xf numFmtId="0" fontId="14" fillId="0" borderId="0" xfId="3" applyAlignment="1">
      <alignment horizontal="left"/>
    </xf>
    <xf numFmtId="0" fontId="13" fillId="0" borderId="0" xfId="3" applyFont="1" applyAlignment="1">
      <alignment vertical="top" wrapText="1"/>
    </xf>
    <xf numFmtId="0" fontId="21" fillId="0" borderId="0" xfId="0" applyFont="1" applyAlignment="1">
      <alignment horizontal="left"/>
    </xf>
    <xf numFmtId="0" fontId="9" fillId="0" borderId="8" xfId="0" applyFont="1" applyBorder="1" applyAlignment="1">
      <alignment horizontal="center" vertical="top" wrapText="1"/>
    </xf>
    <xf numFmtId="0" fontId="14" fillId="0" borderId="0" xfId="1" applyFont="1"/>
    <xf numFmtId="0" fontId="12" fillId="0" borderId="0" xfId="1" applyFont="1" applyAlignment="1">
      <alignment horizontal="center"/>
    </xf>
    <xf numFmtId="0" fontId="9" fillId="0" borderId="2" xfId="1" applyFont="1" applyBorder="1" applyAlignment="1">
      <alignment horizontal="center" vertical="top" wrapText="1"/>
    </xf>
    <xf numFmtId="0" fontId="16" fillId="0" borderId="0" xfId="1" applyFont="1"/>
    <xf numFmtId="0" fontId="9" fillId="0" borderId="2" xfId="1" applyFont="1" applyBorder="1"/>
    <xf numFmtId="0" fontId="24" fillId="0" borderId="2" xfId="1" applyFont="1" applyBorder="1" applyAlignment="1">
      <alignment horizontal="center"/>
    </xf>
    <xf numFmtId="0" fontId="24" fillId="0" borderId="2" xfId="0" applyFont="1" applyBorder="1" applyAlignment="1">
      <alignment horizontal="center"/>
    </xf>
    <xf numFmtId="0" fontId="32" fillId="0" borderId="2" xfId="0" applyFont="1" applyBorder="1" applyAlignment="1">
      <alignment horizontal="center" vertical="top" wrapText="1"/>
    </xf>
    <xf numFmtId="0" fontId="33" fillId="0" borderId="0" xfId="0" applyFont="1" applyAlignment="1">
      <alignment vertical="top" wrapText="1"/>
    </xf>
    <xf numFmtId="0" fontId="14" fillId="0" borderId="2" xfId="0" applyFont="1" applyBorder="1" applyAlignment="1">
      <alignment wrapText="1"/>
    </xf>
    <xf numFmtId="0" fontId="34" fillId="0" borderId="3" xfId="1" applyFont="1" applyBorder="1" applyAlignment="1">
      <alignment horizontal="center" vertical="top" wrapText="1"/>
    </xf>
    <xf numFmtId="0" fontId="31" fillId="0" borderId="0" xfId="1" applyFont="1" applyAlignment="1">
      <alignment horizontal="center"/>
    </xf>
    <xf numFmtId="0" fontId="35" fillId="0" borderId="10" xfId="1" applyFont="1" applyBorder="1" applyAlignment="1">
      <alignment horizontal="center" wrapText="1"/>
    </xf>
    <xf numFmtId="0" fontId="35" fillId="0" borderId="1" xfId="1" applyFont="1" applyBorder="1" applyAlignment="1">
      <alignment horizontal="center"/>
    </xf>
    <xf numFmtId="0" fontId="9" fillId="0" borderId="11" xfId="3" applyFont="1" applyFill="1" applyBorder="1" applyAlignment="1">
      <alignment horizontal="center" vertical="top" wrapText="1"/>
    </xf>
    <xf numFmtId="0" fontId="14" fillId="0" borderId="2" xfId="0" applyFont="1" applyBorder="1" applyAlignment="1">
      <alignment horizontal="center" vertical="center"/>
    </xf>
    <xf numFmtId="0" fontId="14" fillId="0" borderId="2" xfId="0" applyFont="1" applyBorder="1" applyAlignment="1">
      <alignment horizontal="left" vertical="top" wrapText="1"/>
    </xf>
    <xf numFmtId="0" fontId="9" fillId="0" borderId="0" xfId="0" applyFont="1" applyBorder="1" applyAlignment="1"/>
    <xf numFmtId="0" fontId="0" fillId="0" borderId="0" xfId="0" applyAlignment="1">
      <alignment horizontal="center"/>
    </xf>
    <xf numFmtId="0" fontId="29" fillId="0" borderId="5" xfId="1" applyFont="1" applyBorder="1" applyAlignment="1">
      <alignment horizontal="center" vertical="top" wrapText="1"/>
    </xf>
    <xf numFmtId="0" fontId="22" fillId="0" borderId="0" xfId="0" applyFont="1" applyAlignment="1">
      <alignment horizontal="center"/>
    </xf>
    <xf numFmtId="0" fontId="37" fillId="0" borderId="0" xfId="1" applyFont="1" applyAlignment="1">
      <alignment horizontal="center"/>
    </xf>
    <xf numFmtId="0" fontId="14" fillId="0" borderId="0" xfId="3" applyFont="1"/>
    <xf numFmtId="0" fontId="9" fillId="0" borderId="2" xfId="1" applyFont="1" applyBorder="1" applyAlignment="1">
      <alignment horizontal="center"/>
    </xf>
    <xf numFmtId="0" fontId="9" fillId="0" borderId="2" xfId="0" applyFont="1" applyBorder="1" applyAlignment="1">
      <alignment horizontal="center" vertical="center"/>
    </xf>
    <xf numFmtId="0" fontId="9" fillId="0" borderId="3" xfId="0" applyFont="1" applyBorder="1" applyAlignment="1">
      <alignment vertical="top"/>
    </xf>
    <xf numFmtId="0" fontId="24" fillId="0" borderId="2" xfId="3" applyFont="1" applyBorder="1" applyAlignment="1">
      <alignment horizontal="center" wrapText="1"/>
    </xf>
    <xf numFmtId="0" fontId="24" fillId="0" borderId="0" xfId="0" applyFont="1" applyAlignment="1">
      <alignment horizontal="center" vertical="top" wrapText="1"/>
    </xf>
    <xf numFmtId="0" fontId="9" fillId="0" borderId="2" xfId="3" applyFont="1" applyBorder="1" applyAlignment="1">
      <alignment horizontal="left" vertical="center" wrapText="1"/>
    </xf>
    <xf numFmtId="0" fontId="14" fillId="0" borderId="0" xfId="4"/>
    <xf numFmtId="0" fontId="13" fillId="0" borderId="0" xfId="4" applyFont="1" applyAlignment="1"/>
    <xf numFmtId="0" fontId="19" fillId="0" borderId="0" xfId="4" applyFont="1" applyAlignment="1"/>
    <xf numFmtId="0" fontId="11" fillId="0" borderId="0" xfId="4" applyFont="1"/>
    <xf numFmtId="0" fontId="24" fillId="0" borderId="2" xfId="4" applyFont="1" applyBorder="1" applyAlignment="1">
      <alignment horizontal="center" vertical="top" wrapText="1"/>
    </xf>
    <xf numFmtId="0" fontId="24" fillId="0" borderId="0" xfId="4" applyFont="1"/>
    <xf numFmtId="0" fontId="24" fillId="0" borderId="2" xfId="4" applyFont="1" applyBorder="1"/>
    <xf numFmtId="0" fontId="24" fillId="0" borderId="0" xfId="4" applyFont="1" applyBorder="1"/>
    <xf numFmtId="0" fontId="24" fillId="0" borderId="5" xfId="4" applyFont="1" applyBorder="1" applyAlignment="1">
      <alignment horizontal="center" vertical="top" wrapText="1"/>
    </xf>
    <xf numFmtId="0" fontId="24" fillId="0" borderId="9" xfId="4" applyFont="1" applyBorder="1" applyAlignment="1">
      <alignment horizontal="center" vertical="top" wrapText="1"/>
    </xf>
    <xf numFmtId="0" fontId="24" fillId="0" borderId="6" xfId="4" applyFont="1" applyBorder="1" applyAlignment="1">
      <alignment horizontal="center" vertical="top" wrapText="1"/>
    </xf>
    <xf numFmtId="0" fontId="9" fillId="0" borderId="0" xfId="4" applyFont="1"/>
    <xf numFmtId="0" fontId="24" fillId="0" borderId="2" xfId="4" applyFont="1" applyBorder="1" applyAlignment="1">
      <alignment horizontal="center"/>
    </xf>
    <xf numFmtId="0" fontId="9" fillId="0" borderId="2" xfId="4" applyFont="1" applyBorder="1"/>
    <xf numFmtId="0" fontId="9" fillId="0" borderId="2" xfId="4" applyFont="1" applyBorder="1" applyAlignment="1">
      <alignment horizontal="center"/>
    </xf>
    <xf numFmtId="0" fontId="9" fillId="0" borderId="2" xfId="4" applyFont="1" applyBorder="1" applyAlignment="1">
      <alignment horizontal="left"/>
    </xf>
    <xf numFmtId="0" fontId="9" fillId="0" borderId="2" xfId="4" applyFont="1" applyBorder="1" applyAlignment="1">
      <alignment horizontal="left" wrapText="1"/>
    </xf>
    <xf numFmtId="0" fontId="14" fillId="0" borderId="0" xfId="4" applyFill="1" applyBorder="1" applyAlignment="1">
      <alignment horizontal="left"/>
    </xf>
    <xf numFmtId="0" fontId="14" fillId="0" borderId="0" xfId="5"/>
    <xf numFmtId="0" fontId="10" fillId="0" borderId="0" xfId="5" applyFont="1" applyAlignment="1">
      <alignment horizontal="right"/>
    </xf>
    <xf numFmtId="0" fontId="11" fillId="0" borderId="0" xfId="5" applyFont="1" applyAlignment="1">
      <alignment horizontal="right"/>
    </xf>
    <xf numFmtId="0" fontId="22" fillId="0" borderId="2" xfId="5" applyFont="1" applyBorder="1" applyAlignment="1">
      <alignment horizontal="center" vertical="top" wrapText="1"/>
    </xf>
    <xf numFmtId="0" fontId="22" fillId="0" borderId="2" xfId="5" applyFont="1" applyBorder="1" applyAlignment="1">
      <alignment horizontal="center" vertical="center" wrapText="1"/>
    </xf>
    <xf numFmtId="0" fontId="9" fillId="0" borderId="2" xfId="5" applyFont="1" applyBorder="1" applyAlignment="1">
      <alignment horizontal="center" vertical="center"/>
    </xf>
    <xf numFmtId="0" fontId="20" fillId="0" borderId="2" xfId="5" applyFont="1" applyBorder="1" applyAlignment="1">
      <alignment horizontal="left" vertical="top" wrapText="1"/>
    </xf>
    <xf numFmtId="0" fontId="20" fillId="0" borderId="0" xfId="5" applyFont="1" applyAlignment="1">
      <alignment horizontal="left"/>
    </xf>
    <xf numFmtId="0" fontId="56" fillId="0" borderId="0" xfId="0" applyFont="1" applyAlignment="1">
      <alignment horizontal="center"/>
    </xf>
    <xf numFmtId="0" fontId="40" fillId="0" borderId="0" xfId="0" applyFont="1" applyAlignment="1">
      <alignment horizontal="center"/>
    </xf>
    <xf numFmtId="0" fontId="41" fillId="0" borderId="0" xfId="0" applyFont="1"/>
    <xf numFmtId="0" fontId="42" fillId="0" borderId="0" xfId="0" applyFont="1" applyBorder="1" applyAlignment="1"/>
    <xf numFmtId="0" fontId="42" fillId="0" borderId="1" xfId="0" applyFont="1" applyBorder="1" applyAlignment="1">
      <alignment vertical="top" wrapText="1"/>
    </xf>
    <xf numFmtId="0" fontId="42" fillId="3" borderId="1" xfId="0" applyFont="1" applyFill="1" applyBorder="1" applyAlignment="1">
      <alignment vertical="center" wrapText="1"/>
    </xf>
    <xf numFmtId="0" fontId="43" fillId="0" borderId="2" xfId="0" quotePrefix="1" applyFont="1" applyBorder="1" applyAlignment="1">
      <alignment horizontal="center" vertical="top" wrapText="1"/>
    </xf>
    <xf numFmtId="0" fontId="0" fillId="3" borderId="2" xfId="0" applyFill="1" applyBorder="1"/>
    <xf numFmtId="0" fontId="57" fillId="0" borderId="0" xfId="0" applyFont="1"/>
    <xf numFmtId="0" fontId="9" fillId="0" borderId="0" xfId="1" applyFont="1"/>
    <xf numFmtId="0" fontId="9" fillId="0" borderId="0" xfId="1" applyFont="1" applyAlignment="1">
      <alignment horizontal="center" vertical="top" wrapText="1"/>
    </xf>
    <xf numFmtId="0" fontId="9" fillId="0" borderId="0" xfId="1" applyFont="1" applyAlignment="1">
      <alignment horizontal="center"/>
    </xf>
    <xf numFmtId="0" fontId="24" fillId="0" borderId="0" xfId="1" applyFont="1" applyAlignment="1">
      <alignment horizontal="left"/>
    </xf>
    <xf numFmtId="0" fontId="13" fillId="0" borderId="0" xfId="1" applyFont="1"/>
    <xf numFmtId="0" fontId="9" fillId="0" borderId="0" xfId="1" applyFont="1" applyAlignment="1"/>
    <xf numFmtId="0" fontId="9" fillId="0" borderId="7" xfId="1" applyFont="1" applyBorder="1" applyAlignment="1"/>
    <xf numFmtId="0" fontId="9" fillId="0" borderId="0" xfId="1" applyFont="1" applyBorder="1" applyAlignment="1"/>
    <xf numFmtId="0" fontId="9" fillId="0" borderId="0" xfId="1" applyFont="1" applyBorder="1"/>
    <xf numFmtId="0" fontId="9" fillId="0" borderId="0" xfId="1" applyFont="1" applyBorder="1" applyAlignment="1">
      <alignment horizontal="center" vertical="top" wrapText="1"/>
    </xf>
    <xf numFmtId="0" fontId="22" fillId="0" borderId="0" xfId="1" applyFont="1" applyBorder="1" applyAlignment="1">
      <alignment horizontal="left"/>
    </xf>
    <xf numFmtId="0" fontId="43" fillId="0" borderId="2" xfId="0" applyFont="1" applyBorder="1" applyAlignment="1">
      <alignment horizontal="center" vertical="top" wrapText="1"/>
    </xf>
    <xf numFmtId="0" fontId="9" fillId="0" borderId="2" xfId="1" applyFont="1" applyBorder="1" applyAlignment="1"/>
    <xf numFmtId="0" fontId="20" fillId="0" borderId="0" xfId="1" applyFont="1" applyBorder="1" applyAlignment="1"/>
    <xf numFmtId="0" fontId="9" fillId="0" borderId="2" xfId="1" applyFont="1" applyBorder="1" applyAlignment="1">
      <alignment vertical="top" wrapText="1"/>
    </xf>
    <xf numFmtId="0" fontId="9" fillId="0" borderId="0" xfId="1" applyFont="1" applyAlignment="1">
      <alignment vertical="top" wrapText="1"/>
    </xf>
    <xf numFmtId="0" fontId="24" fillId="0" borderId="0" xfId="1" applyFont="1"/>
    <xf numFmtId="0" fontId="22" fillId="0" borderId="0" xfId="1" applyFont="1" applyBorder="1" applyAlignment="1">
      <alignment wrapText="1"/>
    </xf>
    <xf numFmtId="0" fontId="24" fillId="3" borderId="3" xfId="1" quotePrefix="1" applyFont="1" applyFill="1" applyBorder="1" applyAlignment="1">
      <alignment horizontal="center" vertical="center" wrapText="1"/>
    </xf>
    <xf numFmtId="0" fontId="9" fillId="0" borderId="0" xfId="1" applyFont="1" applyBorder="1" applyAlignment="1">
      <alignment horizontal="left" vertical="center"/>
    </xf>
    <xf numFmtId="0" fontId="9" fillId="0" borderId="2" xfId="1" applyFont="1" applyBorder="1" applyAlignment="1">
      <alignment horizontal="center" vertical="center"/>
    </xf>
    <xf numFmtId="0" fontId="9" fillId="0" borderId="2" xfId="1" applyFont="1" applyBorder="1" applyAlignment="1">
      <alignment horizontal="left" vertical="center"/>
    </xf>
    <xf numFmtId="0" fontId="9" fillId="0" borderId="0" xfId="1" applyFont="1" applyAlignment="1">
      <alignment horizontal="left" vertical="center"/>
    </xf>
    <xf numFmtId="0" fontId="39" fillId="0" borderId="0" xfId="0" applyFont="1" applyAlignment="1"/>
    <xf numFmtId="0" fontId="40" fillId="0" borderId="0" xfId="0" applyFont="1" applyAlignment="1"/>
    <xf numFmtId="0" fontId="43" fillId="0" borderId="0" xfId="0" applyFont="1" applyBorder="1" applyAlignment="1"/>
    <xf numFmtId="0" fontId="42" fillId="0" borderId="2" xfId="0" applyFont="1" applyBorder="1" applyAlignment="1">
      <alignment horizontal="center" vertical="top" wrapText="1"/>
    </xf>
    <xf numFmtId="0" fontId="55" fillId="0" borderId="2" xfId="0" applyFont="1" applyBorder="1" applyAlignment="1">
      <alignment horizontal="center" vertical="top" wrapText="1"/>
    </xf>
    <xf numFmtId="0" fontId="58" fillId="0" borderId="0" xfId="0" applyFont="1" applyBorder="1" applyAlignment="1">
      <alignment vertical="top"/>
    </xf>
    <xf numFmtId="0" fontId="59" fillId="0" borderId="2" xfId="0" applyFont="1" applyBorder="1" applyAlignment="1">
      <alignment vertical="top" wrapText="1"/>
    </xf>
    <xf numFmtId="0" fontId="56" fillId="0" borderId="2" xfId="0" applyFont="1" applyBorder="1" applyAlignment="1">
      <alignment horizontal="center"/>
    </xf>
    <xf numFmtId="0" fontId="60" fillId="0" borderId="2" xfId="0" applyFont="1" applyBorder="1" applyAlignment="1">
      <alignment horizontal="center" vertical="center" wrapText="1"/>
    </xf>
    <xf numFmtId="0" fontId="0" fillId="0" borderId="0" xfId="0" applyBorder="1" applyAlignment="1">
      <alignment horizontal="center"/>
    </xf>
    <xf numFmtId="0" fontId="62" fillId="0" borderId="0" xfId="0" applyFont="1" applyAlignment="1">
      <alignment horizontal="center"/>
    </xf>
    <xf numFmtId="0" fontId="63" fillId="0" borderId="0" xfId="0" applyFont="1" applyBorder="1" applyAlignment="1">
      <alignment horizontal="center" vertical="center"/>
    </xf>
    <xf numFmtId="0" fontId="64" fillId="0" borderId="2" xfId="0" applyFont="1" applyBorder="1" applyAlignment="1">
      <alignment vertical="top" wrapText="1"/>
    </xf>
    <xf numFmtId="0" fontId="64" fillId="0" borderId="2" xfId="0" applyFont="1" applyBorder="1" applyAlignment="1">
      <alignment horizontal="center" vertical="top" wrapText="1"/>
    </xf>
    <xf numFmtId="0" fontId="55" fillId="0" borderId="0" xfId="0" applyFont="1"/>
    <xf numFmtId="0" fontId="65" fillId="0" borderId="2" xfId="0" applyFont="1" applyBorder="1" applyAlignment="1">
      <alignment vertical="center" wrapText="1"/>
    </xf>
    <xf numFmtId="0" fontId="65" fillId="0" borderId="2" xfId="0" applyFont="1" applyBorder="1" applyAlignment="1">
      <alignment horizontal="left" vertical="center" wrapText="1" indent="2"/>
    </xf>
    <xf numFmtId="0" fontId="65" fillId="0" borderId="0" xfId="0" applyFont="1" applyBorder="1" applyAlignment="1">
      <alignment horizontal="left" vertical="center" wrapText="1" indent="2"/>
    </xf>
    <xf numFmtId="0" fontId="65" fillId="0" borderId="0" xfId="0" applyFont="1" applyBorder="1" applyAlignment="1">
      <alignment vertical="center" wrapText="1"/>
    </xf>
    <xf numFmtId="0" fontId="55" fillId="0" borderId="2" xfId="0" applyFont="1" applyBorder="1" applyAlignment="1">
      <alignment vertical="top" wrapText="1"/>
    </xf>
    <xf numFmtId="0" fontId="55" fillId="0" borderId="5" xfId="0" applyFont="1" applyBorder="1" applyAlignment="1">
      <alignment horizontal="center" vertical="top" wrapText="1"/>
    </xf>
    <xf numFmtId="0" fontId="65" fillId="0" borderId="5" xfId="0" applyFont="1" applyBorder="1" applyAlignment="1">
      <alignment vertical="center" wrapText="1"/>
    </xf>
    <xf numFmtId="0" fontId="55" fillId="0" borderId="2" xfId="0" applyFont="1" applyBorder="1"/>
    <xf numFmtId="0" fontId="65" fillId="0" borderId="2" xfId="0" applyFont="1" applyBorder="1" applyAlignment="1">
      <alignment horizontal="center" vertical="center" wrapText="1"/>
    </xf>
    <xf numFmtId="0" fontId="12" fillId="0" borderId="0" xfId="1" applyFont="1" applyAlignment="1"/>
    <xf numFmtId="0" fontId="39" fillId="0" borderId="0" xfId="0" applyFont="1" applyAlignment="1">
      <alignment horizontal="right"/>
    </xf>
    <xf numFmtId="0" fontId="9" fillId="0" borderId="5" xfId="0" applyFont="1" applyBorder="1" applyAlignment="1">
      <alignment vertical="top" wrapText="1"/>
    </xf>
    <xf numFmtId="0" fontId="9" fillId="0" borderId="1" xfId="0" applyFont="1" applyBorder="1" applyAlignment="1">
      <alignment vertical="top" wrapText="1"/>
    </xf>
    <xf numFmtId="0" fontId="14" fillId="4" borderId="0" xfId="0" applyFont="1" applyFill="1"/>
    <xf numFmtId="0" fontId="19" fillId="4" borderId="0" xfId="0" applyFont="1" applyFill="1"/>
    <xf numFmtId="0" fontId="9" fillId="4" borderId="0" xfId="0" applyFont="1" applyFill="1"/>
    <xf numFmtId="0" fontId="59" fillId="0" borderId="3" xfId="0" applyFont="1" applyBorder="1" applyAlignment="1">
      <alignment horizontal="center" vertical="top" wrapText="1"/>
    </xf>
    <xf numFmtId="0" fontId="59" fillId="0" borderId="2" xfId="0" applyFont="1" applyBorder="1" applyAlignment="1">
      <alignment horizontal="center" vertical="top" wrapText="1"/>
    </xf>
    <xf numFmtId="0" fontId="9" fillId="0" borderId="0" xfId="0" applyFont="1" applyBorder="1" applyAlignment="1">
      <alignment horizontal="left"/>
    </xf>
    <xf numFmtId="0" fontId="22" fillId="0" borderId="0" xfId="0" applyFont="1" applyBorder="1" applyAlignment="1">
      <alignment horizontal="left"/>
    </xf>
    <xf numFmtId="0" fontId="20" fillId="0" borderId="0" xfId="0" applyFont="1" applyBorder="1" applyAlignment="1">
      <alignment horizontal="center"/>
    </xf>
    <xf numFmtId="49" fontId="9" fillId="0" borderId="0" xfId="0" applyNumberFormat="1" applyFont="1" applyBorder="1" applyAlignment="1">
      <alignment horizontal="left" vertical="top"/>
    </xf>
    <xf numFmtId="0" fontId="22" fillId="0" borderId="0" xfId="0" applyFont="1" applyBorder="1" applyAlignment="1">
      <alignment horizontal="center"/>
    </xf>
    <xf numFmtId="0" fontId="14" fillId="3" borderId="0" xfId="1" applyFont="1" applyFill="1"/>
    <xf numFmtId="0" fontId="12" fillId="3" borderId="0" xfId="1" applyFont="1" applyFill="1" applyAlignment="1"/>
    <xf numFmtId="0" fontId="24" fillId="3" borderId="2" xfId="1" applyFont="1" applyFill="1" applyBorder="1" applyAlignment="1">
      <alignment horizontal="center"/>
    </xf>
    <xf numFmtId="0" fontId="14" fillId="3" borderId="0" xfId="0" applyFont="1" applyFill="1"/>
    <xf numFmtId="0" fontId="9" fillId="3" borderId="0" xfId="0" applyFont="1" applyFill="1" applyBorder="1" applyAlignment="1">
      <alignment horizontal="right"/>
    </xf>
    <xf numFmtId="0" fontId="9" fillId="3" borderId="2" xfId="0" applyFont="1" applyFill="1" applyBorder="1" applyAlignment="1">
      <alignment horizontal="center" vertical="top" wrapText="1"/>
    </xf>
    <xf numFmtId="0" fontId="9" fillId="3" borderId="5" xfId="0" applyFont="1" applyFill="1" applyBorder="1" applyAlignment="1">
      <alignment horizontal="center" vertical="top" wrapText="1"/>
    </xf>
    <xf numFmtId="0" fontId="14" fillId="3" borderId="2" xfId="0" applyFont="1" applyFill="1" applyBorder="1" applyAlignment="1">
      <alignment horizontal="center"/>
    </xf>
    <xf numFmtId="0" fontId="14" fillId="3" borderId="2" xfId="0" applyFont="1" applyFill="1" applyBorder="1"/>
    <xf numFmtId="0" fontId="14" fillId="3" borderId="5" xfId="0" applyFont="1" applyFill="1" applyBorder="1" applyAlignment="1"/>
    <xf numFmtId="0" fontId="14" fillId="3" borderId="0" xfId="0" applyFont="1" applyFill="1" applyBorder="1"/>
    <xf numFmtId="0" fontId="9" fillId="3" borderId="0" xfId="0" applyFont="1" applyFill="1" applyBorder="1" applyAlignment="1">
      <alignment horizontal="left"/>
    </xf>
    <xf numFmtId="0" fontId="9" fillId="3" borderId="0" xfId="0" applyFont="1" applyFill="1" applyBorder="1"/>
    <xf numFmtId="0" fontId="9" fillId="3" borderId="0" xfId="0" applyFont="1" applyFill="1"/>
    <xf numFmtId="0" fontId="9" fillId="0" borderId="0" xfId="3" applyFont="1" applyAlignment="1"/>
    <xf numFmtId="0" fontId="24" fillId="0" borderId="0" xfId="3" applyFont="1" applyAlignment="1">
      <alignment horizontal="right"/>
    </xf>
    <xf numFmtId="0" fontId="17" fillId="0" borderId="2" xfId="0" applyFont="1" applyBorder="1" applyAlignment="1">
      <alignment horizontal="center"/>
    </xf>
    <xf numFmtId="0" fontId="55" fillId="0" borderId="2" xfId="1" applyFont="1" applyBorder="1"/>
    <xf numFmtId="0" fontId="64" fillId="0" borderId="2" xfId="1" applyFont="1" applyBorder="1"/>
    <xf numFmtId="0" fontId="55" fillId="0" borderId="0" xfId="1" applyFont="1" applyBorder="1"/>
    <xf numFmtId="0" fontId="55" fillId="0" borderId="2" xfId="1" applyFont="1" applyBorder="1" applyAlignment="1">
      <alignment horizontal="center"/>
    </xf>
    <xf numFmtId="0" fontId="27" fillId="0" borderId="2" xfId="1" applyFont="1" applyBorder="1"/>
    <xf numFmtId="0" fontId="41" fillId="3" borderId="0" xfId="0" applyFont="1" applyFill="1"/>
    <xf numFmtId="0" fontId="55" fillId="3" borderId="2" xfId="0" applyFont="1" applyFill="1" applyBorder="1" applyAlignment="1">
      <alignment horizontal="center" vertical="top" wrapText="1"/>
    </xf>
    <xf numFmtId="0" fontId="42" fillId="3" borderId="2" xfId="0" applyFont="1" applyFill="1" applyBorder="1" applyAlignment="1">
      <alignment horizontal="center" vertical="top" wrapText="1"/>
    </xf>
    <xf numFmtId="0" fontId="0" fillId="3" borderId="0" xfId="0" applyFill="1"/>
    <xf numFmtId="0" fontId="54" fillId="0" borderId="2" xfId="0" applyFont="1" applyBorder="1" applyAlignment="1">
      <alignment horizontal="center"/>
    </xf>
    <xf numFmtId="0" fontId="41" fillId="0" borderId="2" xfId="0" quotePrefix="1" applyFont="1" applyBorder="1" applyAlignment="1">
      <alignment horizontal="center" vertical="top" wrapText="1"/>
    </xf>
    <xf numFmtId="0" fontId="43" fillId="0" borderId="3" xfId="0" applyFont="1" applyBorder="1" applyAlignment="1">
      <alignment horizontal="center" vertical="top" wrapText="1"/>
    </xf>
    <xf numFmtId="0" fontId="17" fillId="3" borderId="0" xfId="0" applyFont="1" applyFill="1" applyAlignment="1">
      <alignment horizontal="right"/>
    </xf>
    <xf numFmtId="0" fontId="9" fillId="0" borderId="0" xfId="0" applyFont="1" applyBorder="1" applyAlignment="1">
      <alignment horizontal="center" vertical="center" wrapText="1"/>
    </xf>
    <xf numFmtId="0" fontId="9" fillId="3" borderId="2" xfId="1" applyFont="1" applyFill="1" applyBorder="1" applyAlignment="1">
      <alignment horizontal="center" vertical="center"/>
    </xf>
    <xf numFmtId="0" fontId="47" fillId="0" borderId="0" xfId="0" applyFont="1" applyAlignment="1"/>
    <xf numFmtId="0" fontId="55" fillId="0" borderId="2" xfId="0" applyFont="1" applyBorder="1" applyAlignment="1">
      <alignment horizontal="center" vertical="top" wrapText="1"/>
    </xf>
    <xf numFmtId="0" fontId="39" fillId="0" borderId="0" xfId="0" applyFont="1" applyAlignment="1">
      <alignment horizontal="center"/>
    </xf>
    <xf numFmtId="0" fontId="42" fillId="0" borderId="1" xfId="0" applyFont="1" applyBorder="1" applyAlignment="1">
      <alignment horizontal="center" vertical="top" wrapText="1"/>
    </xf>
    <xf numFmtId="0" fontId="9" fillId="3" borderId="0" xfId="0" applyFont="1" applyFill="1" applyBorder="1" applyAlignment="1">
      <alignment horizontal="right"/>
    </xf>
    <xf numFmtId="0" fontId="14" fillId="3" borderId="5" xfId="0" applyFont="1" applyFill="1" applyBorder="1" applyAlignment="1"/>
    <xf numFmtId="0" fontId="42" fillId="3" borderId="1" xfId="0" applyFont="1" applyFill="1" applyBorder="1" applyAlignment="1">
      <alignment horizontal="center" vertical="top" wrapText="1"/>
    </xf>
    <xf numFmtId="0" fontId="9" fillId="0" borderId="0" xfId="2" applyFont="1"/>
    <xf numFmtId="0" fontId="9" fillId="0" borderId="0" xfId="2" applyFont="1" applyAlignment="1">
      <alignment horizontal="center" vertical="top" wrapText="1"/>
    </xf>
    <xf numFmtId="0" fontId="39" fillId="3" borderId="0" xfId="0" applyFont="1" applyFill="1" applyAlignment="1">
      <alignment horizontal="center"/>
    </xf>
    <xf numFmtId="0" fontId="43" fillId="3" borderId="2" xfId="0" quotePrefix="1" applyFont="1" applyFill="1" applyBorder="1" applyAlignment="1">
      <alignment horizontal="center" vertical="top" wrapText="1"/>
    </xf>
    <xf numFmtId="0" fontId="21" fillId="0" borderId="0" xfId="3" applyFont="1" applyAlignment="1">
      <alignment horizontal="left"/>
    </xf>
    <xf numFmtId="0" fontId="9" fillId="0" borderId="0" xfId="3" applyFont="1" applyAlignment="1">
      <alignment horizontal="center"/>
    </xf>
    <xf numFmtId="0" fontId="9" fillId="0" borderId="0" xfId="3" applyFont="1" applyAlignment="1">
      <alignment horizontal="left"/>
    </xf>
    <xf numFmtId="0" fontId="14" fillId="0" borderId="2" xfId="3" applyFont="1" applyBorder="1"/>
    <xf numFmtId="0" fontId="14" fillId="0" borderId="0" xfId="3" applyFont="1" applyBorder="1"/>
    <xf numFmtId="0" fontId="14" fillId="0" borderId="2" xfId="3" applyFont="1" applyBorder="1" applyAlignment="1">
      <alignment horizontal="center"/>
    </xf>
    <xf numFmtId="0" fontId="9" fillId="0" borderId="2" xfId="3" applyFont="1" applyBorder="1"/>
    <xf numFmtId="0" fontId="9" fillId="3" borderId="2" xfId="0" applyFont="1" applyFill="1" applyBorder="1" applyAlignment="1">
      <alignment horizontal="center" vertical="top" wrapText="1"/>
    </xf>
    <xf numFmtId="0" fontId="9" fillId="3" borderId="2" xfId="0" applyFont="1" applyFill="1" applyBorder="1" applyAlignment="1">
      <alignment horizontal="center" vertical="top" wrapText="1"/>
    </xf>
    <xf numFmtId="0" fontId="54" fillId="0" borderId="0" xfId="1" applyBorder="1" applyAlignment="1">
      <alignment horizontal="center"/>
    </xf>
    <xf numFmtId="0" fontId="24" fillId="0" borderId="3" xfId="0" applyFont="1" applyBorder="1" applyAlignment="1">
      <alignment horizontal="center" vertical="top" wrapText="1"/>
    </xf>
    <xf numFmtId="0" fontId="28" fillId="0" borderId="2" xfId="1" applyFont="1" applyBorder="1" applyAlignment="1">
      <alignment horizontal="center" vertical="center" wrapText="1"/>
    </xf>
    <xf numFmtId="0" fontId="65" fillId="0" borderId="2" xfId="0" applyFont="1" applyBorder="1" applyAlignment="1">
      <alignment vertical="center"/>
    </xf>
    <xf numFmtId="0" fontId="9" fillId="3" borderId="2" xfId="0" applyFont="1" applyFill="1" applyBorder="1" applyAlignment="1">
      <alignment horizontal="center" vertical="top" wrapText="1"/>
    </xf>
    <xf numFmtId="0" fontId="42" fillId="0" borderId="1" xfId="0" applyFont="1" applyBorder="1" applyAlignment="1">
      <alignment vertical="center" wrapText="1"/>
    </xf>
    <xf numFmtId="0" fontId="19" fillId="3" borderId="0" xfId="0" applyFont="1" applyFill="1"/>
    <xf numFmtId="0" fontId="17" fillId="0" borderId="2" xfId="3" applyFont="1" applyBorder="1" applyAlignment="1">
      <alignment horizontal="center" vertical="top" wrapText="1"/>
    </xf>
    <xf numFmtId="0" fontId="24" fillId="0" borderId="2" xfId="3" applyFont="1" applyBorder="1" applyAlignment="1">
      <alignment horizontal="center" vertical="top" wrapText="1"/>
    </xf>
    <xf numFmtId="0" fontId="24" fillId="0" borderId="5" xfId="3" applyFont="1" applyBorder="1" applyAlignment="1">
      <alignment horizontal="center" vertical="top" wrapText="1"/>
    </xf>
    <xf numFmtId="0" fontId="24" fillId="0" borderId="4" xfId="3" applyFont="1" applyBorder="1" applyAlignment="1">
      <alignment horizontal="center" vertical="top" wrapText="1"/>
    </xf>
    <xf numFmtId="0" fontId="24" fillId="3" borderId="2" xfId="0" applyFont="1" applyFill="1" applyBorder="1" applyAlignment="1">
      <alignment horizontal="center" vertical="top" wrapText="1"/>
    </xf>
    <xf numFmtId="0" fontId="9" fillId="3" borderId="2" xfId="0" applyFont="1" applyFill="1" applyBorder="1" applyAlignment="1">
      <alignment horizontal="center"/>
    </xf>
    <xf numFmtId="0" fontId="24" fillId="4" borderId="0" xfId="0" applyFont="1" applyFill="1"/>
    <xf numFmtId="0" fontId="34" fillId="0" borderId="2" xfId="1" applyFont="1" applyBorder="1" applyAlignment="1">
      <alignment horizontal="center" vertical="top" wrapText="1"/>
    </xf>
    <xf numFmtId="0" fontId="51" fillId="0" borderId="0" xfId="1" applyFont="1" applyAlignment="1">
      <alignment horizontal="center"/>
    </xf>
    <xf numFmtId="0" fontId="34" fillId="0" borderId="2" xfId="1" applyFont="1" applyBorder="1" applyAlignment="1">
      <alignment horizontal="center"/>
    </xf>
    <xf numFmtId="0" fontId="9" fillId="3" borderId="2" xfId="0" applyFont="1" applyFill="1" applyBorder="1" applyAlignment="1">
      <alignment horizontal="center" vertical="top" wrapText="1"/>
    </xf>
    <xf numFmtId="0" fontId="42" fillId="3" borderId="12" xfId="0" applyFont="1" applyFill="1" applyBorder="1" applyAlignment="1">
      <alignment horizontal="center" vertical="top" wrapText="1"/>
    </xf>
    <xf numFmtId="0" fontId="43" fillId="0" borderId="5" xfId="0" quotePrefix="1" applyFont="1" applyBorder="1" applyAlignment="1">
      <alignment horizontal="center" vertical="top" wrapText="1"/>
    </xf>
    <xf numFmtId="0" fontId="14" fillId="0" borderId="2" xfId="0" applyFont="1" applyBorder="1" applyAlignment="1">
      <alignment horizontal="center"/>
    </xf>
    <xf numFmtId="0" fontId="12" fillId="0" borderId="0" xfId="1" applyFont="1" applyAlignment="1"/>
    <xf numFmtId="0" fontId="14" fillId="0" borderId="2" xfId="0" applyFont="1" applyBorder="1" applyAlignment="1">
      <alignment horizontal="center"/>
    </xf>
    <xf numFmtId="0" fontId="9" fillId="0" borderId="2" xfId="0" applyFont="1" applyBorder="1" applyAlignment="1">
      <alignment horizontal="center" vertical="top" wrapText="1"/>
    </xf>
    <xf numFmtId="0" fontId="22" fillId="0" borderId="2" xfId="5" applyFont="1" applyBorder="1" applyAlignment="1">
      <alignment horizontal="center" vertical="top" wrapText="1"/>
    </xf>
    <xf numFmtId="0" fontId="9" fillId="0" borderId="1" xfId="0" applyFont="1" applyBorder="1" applyAlignment="1">
      <alignment horizontal="center" vertical="top" wrapText="1"/>
    </xf>
    <xf numFmtId="0" fontId="29" fillId="0" borderId="2" xfId="1" applyFont="1" applyBorder="1" applyAlignment="1">
      <alignment horizontal="center" vertical="top" wrapText="1"/>
    </xf>
    <xf numFmtId="0" fontId="15" fillId="3" borderId="0" xfId="0" applyFont="1" applyFill="1" applyAlignment="1">
      <alignment wrapText="1"/>
    </xf>
    <xf numFmtId="0" fontId="14" fillId="0" borderId="0" xfId="3" applyAlignment="1">
      <alignment horizontal="center"/>
    </xf>
    <xf numFmtId="0" fontId="56" fillId="0" borderId="0" xfId="3" applyFont="1" applyAlignment="1">
      <alignment horizontal="center"/>
    </xf>
    <xf numFmtId="0" fontId="41" fillId="0" borderId="0" xfId="3" applyFont="1"/>
    <xf numFmtId="0" fontId="42" fillId="0" borderId="0" xfId="3" applyFont="1"/>
    <xf numFmtId="0" fontId="14" fillId="0" borderId="0" xfId="3" applyAlignment="1">
      <alignment horizontal="right"/>
    </xf>
    <xf numFmtId="0" fontId="68" fillId="3" borderId="2" xfId="3" applyFont="1" applyFill="1" applyBorder="1" applyAlignment="1">
      <alignment horizontal="center" vertical="center" wrapText="1"/>
    </xf>
    <xf numFmtId="0" fontId="9" fillId="3" borderId="2" xfId="3" applyFont="1" applyFill="1" applyBorder="1" applyAlignment="1">
      <alignment horizontal="center" vertical="center" wrapText="1"/>
    </xf>
    <xf numFmtId="0" fontId="14" fillId="0" borderId="2" xfId="3" applyBorder="1" applyAlignment="1">
      <alignment horizontal="center" vertical="center" wrapText="1"/>
    </xf>
    <xf numFmtId="0" fontId="14" fillId="3" borderId="2" xfId="3" applyFill="1" applyBorder="1" applyAlignment="1">
      <alignment horizontal="center" vertical="center" wrapText="1"/>
    </xf>
    <xf numFmtId="0" fontId="67" fillId="3" borderId="2" xfId="3" applyFont="1" applyFill="1" applyBorder="1" applyAlignment="1">
      <alignment horizontal="center" vertical="center" wrapText="1"/>
    </xf>
    <xf numFmtId="0" fontId="14" fillId="3" borderId="2" xfId="3" applyFill="1" applyBorder="1"/>
    <xf numFmtId="0" fontId="55" fillId="0" borderId="0" xfId="3" applyFont="1" applyAlignment="1">
      <alignment horizontal="center"/>
    </xf>
    <xf numFmtId="0" fontId="14" fillId="0" borderId="0" xfId="3" applyAlignment="1">
      <alignment vertical="center"/>
    </xf>
    <xf numFmtId="0" fontId="65" fillId="0" borderId="0" xfId="3" applyFont="1" applyAlignment="1">
      <alignment horizontal="left" vertical="center"/>
    </xf>
    <xf numFmtId="0" fontId="65" fillId="0" borderId="0" xfId="3" applyFont="1" applyAlignment="1">
      <alignment vertical="center"/>
    </xf>
    <xf numFmtId="0" fontId="9" fillId="0" borderId="0" xfId="0" applyFont="1" applyAlignment="1">
      <alignment vertical="top" wrapText="1"/>
    </xf>
    <xf numFmtId="0" fontId="20" fillId="0" borderId="0" xfId="0" applyFont="1" applyBorder="1" applyAlignment="1">
      <alignment horizontal="center"/>
    </xf>
    <xf numFmtId="0" fontId="14" fillId="0" borderId="2" xfId="0" applyFont="1" applyBorder="1" applyAlignment="1">
      <alignment horizontal="center"/>
    </xf>
    <xf numFmtId="0" fontId="9" fillId="0" borderId="2" xfId="0" applyFont="1" applyBorder="1" applyAlignment="1">
      <alignment horizontal="center"/>
    </xf>
    <xf numFmtId="0" fontId="14" fillId="0" borderId="0" xfId="0" applyFont="1"/>
    <xf numFmtId="0" fontId="9" fillId="0" borderId="0" xfId="0" applyFont="1" applyAlignment="1">
      <alignment horizontal="center"/>
    </xf>
    <xf numFmtId="0" fontId="9" fillId="0" borderId="0" xfId="0" applyFont="1" applyAlignment="1">
      <alignment horizontal="right" vertical="top" wrapText="1"/>
    </xf>
    <xf numFmtId="0" fontId="9" fillId="0" borderId="0" xfId="0" applyFont="1" applyAlignment="1">
      <alignment vertical="top" wrapText="1"/>
    </xf>
    <xf numFmtId="0" fontId="22" fillId="0" borderId="2" xfId="5" applyFont="1" applyBorder="1" applyAlignment="1">
      <alignment horizontal="center" vertical="top" wrapText="1"/>
    </xf>
    <xf numFmtId="0" fontId="14" fillId="0" borderId="0" xfId="0" applyFont="1"/>
    <xf numFmtId="2" fontId="0" fillId="0" borderId="2" xfId="0" applyNumberFormat="1" applyBorder="1"/>
    <xf numFmtId="0" fontId="9" fillId="0" borderId="0" xfId="0" applyFont="1" applyAlignment="1">
      <alignment horizontal="center"/>
    </xf>
    <xf numFmtId="0" fontId="9" fillId="0" borderId="0" xfId="0" applyFont="1" applyAlignment="1">
      <alignment horizontal="center" vertical="top" wrapText="1"/>
    </xf>
    <xf numFmtId="0" fontId="20" fillId="0" borderId="0" xfId="5" applyFont="1" applyAlignment="1">
      <alignment horizontal="left"/>
    </xf>
    <xf numFmtId="0" fontId="13" fillId="0" borderId="0" xfId="3" applyFont="1" applyAlignment="1">
      <alignment horizontal="right" vertical="top" wrapText="1"/>
    </xf>
    <xf numFmtId="0" fontId="13" fillId="0" borderId="0" xfId="0" applyFont="1" applyAlignment="1">
      <alignment vertical="top" wrapText="1"/>
    </xf>
    <xf numFmtId="0" fontId="14" fillId="0" borderId="0" xfId="0" applyFont="1"/>
    <xf numFmtId="0" fontId="19" fillId="0" borderId="2" xfId="0" applyFont="1" applyBorder="1" applyAlignment="1">
      <alignment horizontal="center"/>
    </xf>
    <xf numFmtId="0" fontId="13" fillId="0" borderId="2" xfId="3" applyFont="1" applyBorder="1" applyAlignment="1">
      <alignment horizontal="left" vertical="center" wrapText="1"/>
    </xf>
    <xf numFmtId="0" fontId="71" fillId="0" borderId="2" xfId="0" applyFont="1" applyBorder="1" applyAlignment="1">
      <alignment horizontal="center"/>
    </xf>
    <xf numFmtId="0" fontId="19" fillId="0" borderId="2" xfId="0" applyFont="1" applyBorder="1"/>
    <xf numFmtId="0" fontId="13" fillId="0" borderId="2" xfId="0" applyFont="1" applyBorder="1" applyAlignment="1">
      <alignment horizontal="center"/>
    </xf>
    <xf numFmtId="0" fontId="72" fillId="0" borderId="2" xfId="0" applyFont="1" applyBorder="1" applyAlignment="1">
      <alignment horizontal="right"/>
    </xf>
    <xf numFmtId="2" fontId="72" fillId="0" borderId="2" xfId="0" applyNumberFormat="1" applyFont="1" applyBorder="1" applyAlignment="1">
      <alignment horizontal="right"/>
    </xf>
    <xf numFmtId="0" fontId="13" fillId="0" borderId="2" xfId="3" applyFont="1" applyBorder="1" applyAlignment="1">
      <alignment horizontal="left" vertical="center"/>
    </xf>
    <xf numFmtId="0" fontId="13" fillId="0" borderId="2" xfId="0" applyFont="1" applyFill="1" applyBorder="1" applyAlignment="1">
      <alignment horizontal="center"/>
    </xf>
    <xf numFmtId="0" fontId="13" fillId="0" borderId="2" xfId="3" applyFont="1" applyFill="1" applyBorder="1" applyAlignment="1">
      <alignment horizontal="left" vertical="center" wrapText="1"/>
    </xf>
    <xf numFmtId="0" fontId="73" fillId="0" borderId="2" xfId="0" applyFont="1" applyBorder="1" applyAlignment="1">
      <alignment horizontal="right"/>
    </xf>
    <xf numFmtId="2" fontId="73" fillId="0" borderId="2" xfId="0" applyNumberFormat="1" applyFont="1" applyBorder="1" applyAlignment="1">
      <alignment horizontal="right"/>
    </xf>
    <xf numFmtId="0" fontId="12" fillId="0" borderId="2" xfId="3" applyFont="1" applyBorder="1" applyAlignment="1">
      <alignment horizontal="left" vertical="center" wrapText="1"/>
    </xf>
    <xf numFmtId="2" fontId="74" fillId="0" borderId="2" xfId="5" applyNumberFormat="1" applyFont="1" applyBorder="1" applyAlignment="1">
      <alignment horizontal="right" vertical="top" wrapText="1"/>
    </xf>
    <xf numFmtId="164" fontId="74" fillId="0" borderId="2" xfId="5" applyNumberFormat="1" applyFont="1" applyBorder="1" applyAlignment="1">
      <alignment horizontal="right" vertical="top" wrapText="1"/>
    </xf>
    <xf numFmtId="0" fontId="9" fillId="0" borderId="0" xfId="0" applyFont="1" applyAlignment="1">
      <alignment horizontal="center"/>
    </xf>
    <xf numFmtId="0" fontId="14" fillId="0" borderId="2" xfId="0" applyFont="1" applyBorder="1" applyAlignment="1">
      <alignment horizontal="center"/>
    </xf>
    <xf numFmtId="0" fontId="9" fillId="0" borderId="0" xfId="0" applyFont="1" applyAlignment="1">
      <alignment horizontal="center" vertical="top" wrapText="1"/>
    </xf>
    <xf numFmtId="0" fontId="14" fillId="0" borderId="0" xfId="0" applyFont="1" applyAlignment="1">
      <alignment horizontal="center"/>
    </xf>
    <xf numFmtId="0" fontId="14" fillId="0" borderId="0" xfId="0" applyFont="1"/>
    <xf numFmtId="0" fontId="22" fillId="0" borderId="2" xfId="0" applyFont="1" applyBorder="1" applyAlignment="1">
      <alignment horizontal="left" vertical="center" wrapText="1"/>
    </xf>
    <xf numFmtId="0" fontId="22" fillId="3" borderId="2" xfId="0" applyFont="1" applyFill="1" applyBorder="1" applyAlignment="1">
      <alignment horizontal="left" vertical="center" wrapText="1"/>
    </xf>
    <xf numFmtId="0" fontId="9" fillId="3" borderId="2" xfId="0" applyFont="1" applyFill="1" applyBorder="1"/>
    <xf numFmtId="0" fontId="0" fillId="0" borderId="2" xfId="0" applyBorder="1" applyAlignment="1">
      <alignment horizontal="center" vertical="center"/>
    </xf>
    <xf numFmtId="0" fontId="0" fillId="0" borderId="2" xfId="0" applyBorder="1" applyAlignment="1">
      <alignment vertical="center"/>
    </xf>
    <xf numFmtId="0" fontId="9" fillId="0" borderId="0" xfId="0" applyFont="1" applyAlignment="1">
      <alignment horizontal="center" vertical="top" wrapText="1"/>
    </xf>
    <xf numFmtId="0" fontId="9" fillId="0" borderId="0" xfId="0" applyFont="1" applyAlignment="1">
      <alignment horizontal="center"/>
    </xf>
    <xf numFmtId="0" fontId="14" fillId="0" borderId="0" xfId="0" applyFont="1" applyAlignment="1">
      <alignment horizontal="center"/>
    </xf>
    <xf numFmtId="0" fontId="14" fillId="0" borderId="0" xfId="0" applyFont="1"/>
    <xf numFmtId="0" fontId="14" fillId="0" borderId="0" xfId="0" applyFont="1" applyAlignment="1">
      <alignment horizontal="center"/>
    </xf>
    <xf numFmtId="0" fontId="14" fillId="0" borderId="0" xfId="0" applyFont="1"/>
    <xf numFmtId="165" fontId="14" fillId="0" borderId="2" xfId="0" applyNumberFormat="1" applyFont="1" applyBorder="1"/>
    <xf numFmtId="2" fontId="14" fillId="0" borderId="2" xfId="0" applyNumberFormat="1" applyFont="1" applyBorder="1"/>
    <xf numFmtId="2" fontId="9" fillId="0" borderId="2" xfId="0" applyNumberFormat="1" applyFont="1" applyBorder="1"/>
    <xf numFmtId="165" fontId="14" fillId="0" borderId="0" xfId="1" applyNumberFormat="1" applyFont="1"/>
    <xf numFmtId="2" fontId="14" fillId="0" borderId="0" xfId="1" applyNumberFormat="1" applyFont="1"/>
    <xf numFmtId="0" fontId="14" fillId="0" borderId="0" xfId="0" applyFont="1" applyAlignment="1">
      <alignment horizontal="center"/>
    </xf>
    <xf numFmtId="0" fontId="14" fillId="0" borderId="0" xfId="0" applyFont="1"/>
    <xf numFmtId="0" fontId="14" fillId="0" borderId="2" xfId="0" applyFont="1" applyBorder="1" applyAlignment="1">
      <alignment horizontal="center"/>
    </xf>
    <xf numFmtId="0" fontId="14" fillId="0" borderId="0" xfId="0" applyFont="1" applyAlignment="1">
      <alignment horizontal="center"/>
    </xf>
    <xf numFmtId="0" fontId="14" fillId="0" borderId="0" xfId="0" applyFont="1"/>
    <xf numFmtId="0" fontId="9" fillId="0" borderId="0" xfId="0" applyFont="1" applyAlignment="1">
      <alignment horizontal="center" vertical="top" wrapText="1"/>
    </xf>
    <xf numFmtId="0" fontId="14" fillId="0" borderId="0" xfId="0" applyFont="1" applyAlignment="1">
      <alignment horizontal="center"/>
    </xf>
    <xf numFmtId="0" fontId="14" fillId="0" borderId="0" xfId="0" applyFont="1"/>
    <xf numFmtId="0" fontId="22" fillId="0" borderId="2" xfId="0" applyFont="1" applyBorder="1" applyAlignment="1">
      <alignment horizontal="center" vertical="top" wrapText="1"/>
    </xf>
    <xf numFmtId="2" fontId="14" fillId="0" borderId="0" xfId="0" applyNumberFormat="1" applyFont="1" applyBorder="1"/>
    <xf numFmtId="2" fontId="14" fillId="0" borderId="0" xfId="0" applyNumberFormat="1" applyFont="1"/>
    <xf numFmtId="2" fontId="0" fillId="0" borderId="0" xfId="0" applyNumberFormat="1"/>
    <xf numFmtId="0" fontId="14" fillId="0" borderId="0" xfId="3" applyFont="1"/>
    <xf numFmtId="0" fontId="14" fillId="0" borderId="2" xfId="0" applyFont="1" applyBorder="1" applyAlignment="1">
      <alignment horizontal="right" vertical="top" wrapText="1"/>
    </xf>
    <xf numFmtId="2" fontId="14" fillId="0" borderId="2" xfId="0" applyNumberFormat="1" applyFont="1" applyBorder="1" applyAlignment="1">
      <alignment vertical="top" wrapText="1"/>
    </xf>
    <xf numFmtId="2" fontId="9" fillId="0" borderId="2" xfId="0" applyNumberFormat="1" applyFont="1" applyBorder="1" applyAlignment="1">
      <alignment horizontal="center" vertical="top" wrapText="1"/>
    </xf>
    <xf numFmtId="2" fontId="9" fillId="0" borderId="2" xfId="0" applyNumberFormat="1" applyFont="1" applyBorder="1" applyAlignment="1">
      <alignment horizontal="center" vertical="center" wrapText="1"/>
    </xf>
    <xf numFmtId="2" fontId="9" fillId="0" borderId="2" xfId="0" applyNumberFormat="1" applyFont="1" applyBorder="1" applyAlignment="1">
      <alignment horizontal="right" vertical="top" wrapText="1"/>
    </xf>
    <xf numFmtId="2" fontId="9" fillId="0" borderId="2" xfId="0" applyNumberFormat="1" applyFont="1" applyBorder="1" applyAlignment="1">
      <alignment vertical="top" wrapText="1"/>
    </xf>
    <xf numFmtId="2" fontId="9" fillId="0" borderId="2" xfId="0" applyNumberFormat="1" applyFont="1" applyBorder="1" applyAlignment="1">
      <alignment vertical="center"/>
    </xf>
    <xf numFmtId="2" fontId="9" fillId="0" borderId="2" xfId="0" applyNumberFormat="1" applyFont="1" applyBorder="1" applyAlignment="1">
      <alignment horizontal="center" vertical="center"/>
    </xf>
    <xf numFmtId="0" fontId="22" fillId="0" borderId="2" xfId="0" applyFont="1" applyBorder="1"/>
    <xf numFmtId="0" fontId="22" fillId="0" borderId="3" xfId="0" applyFont="1" applyBorder="1" applyAlignment="1">
      <alignment vertical="top" wrapText="1"/>
    </xf>
    <xf numFmtId="0" fontId="13" fillId="0" borderId="2" xfId="0" applyFont="1" applyBorder="1" applyAlignment="1">
      <alignment vertical="top" wrapText="1"/>
    </xf>
    <xf numFmtId="2" fontId="14" fillId="3" borderId="2" xfId="0" applyNumberFormat="1" applyFont="1" applyFill="1" applyBorder="1"/>
    <xf numFmtId="0" fontId="9" fillId="3" borderId="5" xfId="0" applyFont="1" applyFill="1" applyBorder="1" applyAlignment="1"/>
    <xf numFmtId="2" fontId="9" fillId="3" borderId="2" xfId="0" applyNumberFormat="1" applyFont="1" applyFill="1" applyBorder="1"/>
    <xf numFmtId="0" fontId="22" fillId="3" borderId="0" xfId="0" applyFont="1" applyFill="1"/>
    <xf numFmtId="0" fontId="22" fillId="3" borderId="0" xfId="0" applyFont="1" applyFill="1" applyAlignment="1">
      <alignment horizontal="center" vertical="top" wrapText="1"/>
    </xf>
    <xf numFmtId="0" fontId="22" fillId="3" borderId="0" xfId="0" applyFont="1" applyFill="1" applyAlignment="1">
      <alignment vertical="top" wrapText="1"/>
    </xf>
    <xf numFmtId="0" fontId="9" fillId="3" borderId="0" xfId="1" applyFont="1" applyFill="1"/>
    <xf numFmtId="0" fontId="22" fillId="3" borderId="0" xfId="0" applyFont="1" applyFill="1" applyAlignment="1">
      <alignment horizontal="center"/>
    </xf>
    <xf numFmtId="0" fontId="14" fillId="4" borderId="0" xfId="0" applyFont="1" applyFill="1" applyAlignment="1">
      <alignment horizontal="center"/>
    </xf>
    <xf numFmtId="0" fontId="27" fillId="0" borderId="0" xfId="1" applyFont="1"/>
    <xf numFmtId="165" fontId="14" fillId="0" borderId="2" xfId="3" applyNumberFormat="1" applyFont="1" applyBorder="1"/>
    <xf numFmtId="165" fontId="9" fillId="0" borderId="2" xfId="3" applyNumberFormat="1" applyFont="1" applyBorder="1"/>
    <xf numFmtId="2" fontId="14" fillId="0" borderId="2" xfId="3" applyNumberFormat="1" applyFont="1" applyBorder="1"/>
    <xf numFmtId="2" fontId="9" fillId="0" borderId="2" xfId="3" applyNumberFormat="1" applyFont="1" applyBorder="1"/>
    <xf numFmtId="9" fontId="14" fillId="0" borderId="0" xfId="8" applyFont="1"/>
    <xf numFmtId="0" fontId="76" fillId="0" borderId="2" xfId="0" applyFont="1" applyBorder="1"/>
    <xf numFmtId="0" fontId="10" fillId="3" borderId="0" xfId="0" applyFont="1" applyFill="1" applyAlignment="1"/>
    <xf numFmtId="0" fontId="14" fillId="0" borderId="0" xfId="0" applyFont="1" applyAlignment="1">
      <alignment horizontal="center"/>
    </xf>
    <xf numFmtId="0" fontId="14" fillId="0" borderId="0" xfId="0" applyFont="1"/>
    <xf numFmtId="0" fontId="9" fillId="0" borderId="2" xfId="0" applyFont="1" applyBorder="1" applyAlignment="1">
      <alignment horizontal="center"/>
    </xf>
    <xf numFmtId="0" fontId="9" fillId="0" borderId="2" xfId="0" applyFont="1" applyBorder="1" applyAlignment="1">
      <alignment horizontal="center" vertical="top" wrapText="1"/>
    </xf>
    <xf numFmtId="0" fontId="14" fillId="0" borderId="0" xfId="0" applyFont="1"/>
    <xf numFmtId="0" fontId="0" fillId="0" borderId="0" xfId="0" applyAlignment="1">
      <alignment horizontal="left"/>
    </xf>
    <xf numFmtId="0" fontId="14" fillId="0" borderId="0" xfId="4" applyFont="1"/>
    <xf numFmtId="0" fontId="9" fillId="0" borderId="2" xfId="0" applyFont="1" applyBorder="1" applyAlignment="1">
      <alignment horizontal="center" vertical="top" wrapText="1"/>
    </xf>
    <xf numFmtId="0" fontId="9" fillId="0" borderId="0" xfId="1" applyFont="1" applyAlignment="1">
      <alignment horizontal="center" vertical="top" wrapText="1"/>
    </xf>
    <xf numFmtId="0" fontId="9" fillId="0" borderId="0" xfId="1" applyFont="1" applyAlignment="1">
      <alignment horizontal="center"/>
    </xf>
    <xf numFmtId="0" fontId="14" fillId="0" borderId="0" xfId="0" applyFont="1"/>
    <xf numFmtId="0" fontId="66" fillId="0" borderId="0" xfId="0" applyFont="1" applyBorder="1" applyAlignment="1">
      <alignment horizontal="left" vertical="center" wrapText="1"/>
    </xf>
    <xf numFmtId="1" fontId="9" fillId="0" borderId="2" xfId="0" applyNumberFormat="1" applyFont="1" applyBorder="1"/>
    <xf numFmtId="0" fontId="22" fillId="0" borderId="2" xfId="0" applyFont="1" applyBorder="1" applyAlignment="1">
      <alignment horizontal="center" vertical="center" wrapText="1"/>
    </xf>
    <xf numFmtId="0" fontId="77" fillId="0" borderId="2" xfId="0" applyFont="1" applyBorder="1" applyAlignment="1">
      <alignment horizontal="right" vertical="center"/>
    </xf>
    <xf numFmtId="2" fontId="77" fillId="0" borderId="2" xfId="0" applyNumberFormat="1" applyFont="1" applyBorder="1" applyAlignment="1">
      <alignment horizontal="right" vertical="center"/>
    </xf>
    <xf numFmtId="0" fontId="22" fillId="3" borderId="2" xfId="0" applyFont="1" applyFill="1" applyBorder="1" applyAlignment="1">
      <alignment horizontal="center" vertical="center" wrapText="1"/>
    </xf>
    <xf numFmtId="0" fontId="78" fillId="0" borderId="2" xfId="0" applyFont="1" applyBorder="1" applyAlignment="1">
      <alignment horizontal="right" vertical="center"/>
    </xf>
    <xf numFmtId="2" fontId="78" fillId="0" borderId="2" xfId="0" applyNumberFormat="1" applyFont="1" applyBorder="1" applyAlignment="1">
      <alignment horizontal="right" vertical="center"/>
    </xf>
    <xf numFmtId="0" fontId="20" fillId="0" borderId="2" xfId="0" applyFont="1" applyBorder="1" applyAlignment="1">
      <alignment horizontal="right" vertical="center"/>
    </xf>
    <xf numFmtId="0" fontId="9" fillId="0" borderId="2" xfId="0" applyFont="1" applyBorder="1" applyAlignment="1">
      <alignment horizontal="right" vertical="center"/>
    </xf>
    <xf numFmtId="0" fontId="22" fillId="0" borderId="2" xfId="0" applyFont="1" applyBorder="1" applyAlignment="1">
      <alignment horizontal="right" vertical="center"/>
    </xf>
    <xf numFmtId="2" fontId="20" fillId="0" borderId="2" xfId="0" applyNumberFormat="1" applyFont="1" applyBorder="1" applyAlignment="1">
      <alignment horizontal="right" vertical="center"/>
    </xf>
    <xf numFmtId="2" fontId="9" fillId="0" borderId="2" xfId="0" applyNumberFormat="1" applyFont="1" applyBorder="1" applyAlignment="1">
      <alignment horizontal="right" vertical="center"/>
    </xf>
    <xf numFmtId="0" fontId="82" fillId="0" borderId="2" xfId="1" applyFont="1" applyBorder="1" applyAlignment="1">
      <alignment horizontal="right" vertical="top" wrapText="1"/>
    </xf>
    <xf numFmtId="0" fontId="7" fillId="0" borderId="2" xfId="1" applyFont="1" applyBorder="1" applyAlignment="1">
      <alignment horizontal="right"/>
    </xf>
    <xf numFmtId="0" fontId="20" fillId="0" borderId="2" xfId="0" applyFont="1" applyBorder="1" applyAlignment="1">
      <alignment horizontal="left" vertical="center" wrapText="1"/>
    </xf>
    <xf numFmtId="0" fontId="20" fillId="3" borderId="2" xfId="0" applyFont="1" applyFill="1" applyBorder="1" applyAlignment="1">
      <alignment horizontal="left" vertical="center" wrapText="1"/>
    </xf>
    <xf numFmtId="1" fontId="14" fillId="3" borderId="2" xfId="3" applyNumberFormat="1" applyFill="1" applyBorder="1"/>
    <xf numFmtId="1" fontId="14" fillId="0" borderId="2" xfId="3" applyNumberFormat="1" applyBorder="1"/>
    <xf numFmtId="0" fontId="9" fillId="3" borderId="2" xfId="3" applyFont="1" applyFill="1" applyBorder="1"/>
    <xf numFmtId="1" fontId="9" fillId="3" borderId="2" xfId="3" applyNumberFormat="1" applyFont="1" applyFill="1" applyBorder="1"/>
    <xf numFmtId="0" fontId="9" fillId="0" borderId="0" xfId="0" applyFont="1" applyAlignment="1">
      <alignment horizontal="center" vertical="top" wrapText="1"/>
    </xf>
    <xf numFmtId="0" fontId="9" fillId="0" borderId="0" xfId="0" applyFont="1" applyAlignment="1">
      <alignment horizontal="center"/>
    </xf>
    <xf numFmtId="0" fontId="14" fillId="0" borderId="0" xfId="0" applyFont="1" applyAlignment="1">
      <alignment horizontal="center"/>
    </xf>
    <xf numFmtId="0" fontId="14" fillId="0" borderId="0" xfId="0" applyFont="1"/>
    <xf numFmtId="0" fontId="14" fillId="0" borderId="0" xfId="0" applyFont="1"/>
    <xf numFmtId="0" fontId="9" fillId="0" borderId="2" xfId="0" applyFont="1" applyBorder="1" applyAlignment="1">
      <alignment horizontal="center" vertical="top" wrapText="1"/>
    </xf>
    <xf numFmtId="0" fontId="14" fillId="0" borderId="2" xfId="0" applyFont="1" applyBorder="1" applyAlignment="1">
      <alignment horizontal="center"/>
    </xf>
    <xf numFmtId="0" fontId="9" fillId="0" borderId="0" xfId="1" applyFont="1" applyAlignment="1">
      <alignment horizontal="center"/>
    </xf>
    <xf numFmtId="0" fontId="9" fillId="0" borderId="0" xfId="1" applyFont="1" applyAlignment="1">
      <alignment horizontal="center" vertical="top" wrapText="1"/>
    </xf>
    <xf numFmtId="0" fontId="14" fillId="0" borderId="0" xfId="0" applyFont="1"/>
    <xf numFmtId="2" fontId="14" fillId="0" borderId="2" xfId="0" applyNumberFormat="1" applyFont="1" applyBorder="1" applyAlignment="1">
      <alignment horizontal="center" vertical="center" wrapText="1"/>
    </xf>
    <xf numFmtId="2" fontId="14" fillId="0" borderId="2" xfId="0" applyNumberFormat="1" applyFont="1" applyBorder="1" applyAlignment="1">
      <alignment horizontal="center" vertical="center"/>
    </xf>
    <xf numFmtId="0" fontId="9" fillId="3" borderId="2" xfId="1" quotePrefix="1" applyFont="1" applyFill="1" applyBorder="1" applyAlignment="1">
      <alignment horizontal="center" vertical="center" wrapText="1"/>
    </xf>
    <xf numFmtId="0" fontId="83" fillId="3" borderId="0" xfId="0" applyFont="1" applyFill="1"/>
    <xf numFmtId="0" fontId="61"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1" fillId="0" borderId="2" xfId="0" applyFont="1" applyBorder="1" applyAlignment="1">
      <alignment horizontal="center" vertical="center" wrapText="1"/>
    </xf>
    <xf numFmtId="0" fontId="61" fillId="0" borderId="5"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6" xfId="0" applyFont="1" applyBorder="1" applyAlignment="1">
      <alignment horizontal="center" vertical="center" wrapText="1"/>
    </xf>
    <xf numFmtId="0" fontId="66"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0" fillId="3" borderId="2" xfId="0" applyFont="1" applyFill="1" applyBorder="1" applyAlignment="1">
      <alignment horizontal="center" vertical="center" wrapText="1"/>
    </xf>
    <xf numFmtId="0" fontId="13" fillId="0" borderId="2" xfId="1" applyFont="1" applyBorder="1" applyAlignment="1">
      <alignment horizontal="left" vertical="center"/>
    </xf>
    <xf numFmtId="0" fontId="19" fillId="0" borderId="2" xfId="1" applyFont="1" applyBorder="1" applyAlignment="1">
      <alignment horizontal="right"/>
    </xf>
    <xf numFmtId="0" fontId="13" fillId="0" borderId="2" xfId="1" applyFont="1" applyBorder="1" applyAlignment="1">
      <alignment horizontal="right" vertical="center"/>
    </xf>
    <xf numFmtId="0" fontId="13" fillId="0" borderId="2" xfId="1" applyFont="1" applyBorder="1" applyAlignment="1">
      <alignment horizontal="left"/>
    </xf>
    <xf numFmtId="0" fontId="13" fillId="0" borderId="2" xfId="1" applyFont="1" applyBorder="1" applyAlignment="1">
      <alignment horizontal="right"/>
    </xf>
    <xf numFmtId="0" fontId="19" fillId="0" borderId="2" xfId="1" applyFont="1" applyBorder="1" applyAlignment="1">
      <alignment horizontal="right" vertical="center" wrapText="1"/>
    </xf>
    <xf numFmtId="0" fontId="13" fillId="0" borderId="2" xfId="1" applyFont="1" applyBorder="1"/>
    <xf numFmtId="0" fontId="9" fillId="0" borderId="0" xfId="1" applyFont="1" applyAlignment="1">
      <alignment horizontal="right" vertical="top" wrapText="1"/>
    </xf>
    <xf numFmtId="0" fontId="14" fillId="0" borderId="2" xfId="3" applyBorder="1" applyAlignment="1">
      <alignment horizontal="left"/>
    </xf>
    <xf numFmtId="0" fontId="14" fillId="0" borderId="2" xfId="3" quotePrefix="1" applyBorder="1" applyAlignment="1">
      <alignment horizontal="left"/>
    </xf>
    <xf numFmtId="0" fontId="9" fillId="3" borderId="0" xfId="0" applyFont="1" applyFill="1" applyAlignment="1">
      <alignment horizontal="center"/>
    </xf>
    <xf numFmtId="0" fontId="9" fillId="3" borderId="0" xfId="0" applyFont="1" applyFill="1" applyAlignment="1">
      <alignment horizontal="center" vertical="top" wrapText="1"/>
    </xf>
    <xf numFmtId="0" fontId="14" fillId="0" borderId="2" xfId="0" applyFont="1" applyBorder="1" applyAlignment="1">
      <alignment horizontal="center" vertical="top" wrapText="1"/>
    </xf>
    <xf numFmtId="0" fontId="26" fillId="0" borderId="2" xfId="1" applyFont="1" applyBorder="1" applyAlignment="1">
      <alignment horizontal="right" vertical="top" wrapText="1"/>
    </xf>
    <xf numFmtId="0" fontId="5" fillId="0" borderId="2" xfId="1" applyFont="1" applyBorder="1" applyAlignment="1">
      <alignment horizontal="right"/>
    </xf>
    <xf numFmtId="0" fontId="14" fillId="0" borderId="2" xfId="0" applyFont="1" applyBorder="1" applyAlignment="1">
      <alignment horizontal="center"/>
    </xf>
    <xf numFmtId="0" fontId="20" fillId="0" borderId="0" xfId="5" applyFont="1" applyAlignment="1">
      <alignment horizontal="left"/>
    </xf>
    <xf numFmtId="0" fontId="22" fillId="0" borderId="2" xfId="5" applyFont="1" applyBorder="1" applyAlignment="1">
      <alignment horizontal="center" vertical="top" wrapText="1"/>
    </xf>
    <xf numFmtId="0" fontId="22" fillId="0" borderId="14" xfId="5" applyFont="1" applyBorder="1" applyAlignment="1">
      <alignment horizontal="center" vertical="top" wrapText="1"/>
    </xf>
    <xf numFmtId="0" fontId="14" fillId="0" borderId="0" xfId="0" applyFont="1"/>
    <xf numFmtId="0" fontId="13" fillId="0" borderId="0" xfId="3" applyFont="1" applyAlignment="1">
      <alignment horizontal="center"/>
    </xf>
    <xf numFmtId="0" fontId="13" fillId="0" borderId="0" xfId="3" applyFont="1" applyAlignment="1">
      <alignment horizontal="right" vertical="top" wrapText="1"/>
    </xf>
    <xf numFmtId="2" fontId="14" fillId="0" borderId="0" xfId="3" applyNumberFormat="1" applyFont="1"/>
    <xf numFmtId="0" fontId="14" fillId="0" borderId="0" xfId="0" applyFont="1"/>
    <xf numFmtId="0" fontId="22" fillId="0" borderId="17" xfId="5" applyFont="1" applyBorder="1" applyAlignment="1">
      <alignment horizontal="center" vertical="top" wrapText="1"/>
    </xf>
    <xf numFmtId="0" fontId="9" fillId="0" borderId="3" xfId="5" applyFont="1" applyBorder="1" applyAlignment="1">
      <alignment horizontal="center" vertical="center"/>
    </xf>
    <xf numFmtId="49" fontId="77" fillId="0" borderId="2" xfId="0" applyNumberFormat="1" applyFont="1" applyBorder="1" applyAlignment="1">
      <alignment horizontal="left" vertical="center"/>
    </xf>
    <xf numFmtId="0" fontId="77" fillId="0" borderId="2" xfId="0" applyFont="1" applyBorder="1"/>
    <xf numFmtId="0" fontId="78" fillId="0" borderId="2" xfId="0" applyFont="1" applyBorder="1"/>
    <xf numFmtId="0" fontId="77" fillId="0" borderId="2" xfId="0" applyFont="1" applyBorder="1" applyAlignment="1">
      <alignment horizontal="center"/>
    </xf>
    <xf numFmtId="0" fontId="77" fillId="0" borderId="2" xfId="0" applyFont="1" applyBorder="1" applyAlignment="1">
      <alignment vertical="center" wrapText="1"/>
    </xf>
    <xf numFmtId="0" fontId="0" fillId="0" borderId="2" xfId="0" applyBorder="1" applyAlignment="1">
      <alignment horizontal="right" vertical="center"/>
    </xf>
    <xf numFmtId="0" fontId="77" fillId="0" borderId="2" xfId="0" applyFont="1" applyBorder="1" applyAlignment="1">
      <alignment horizontal="right" wrapText="1"/>
    </xf>
    <xf numFmtId="0" fontId="0" fillId="0" borderId="2" xfId="0" applyBorder="1" applyAlignment="1">
      <alignment horizontal="left"/>
    </xf>
    <xf numFmtId="0" fontId="77" fillId="0" borderId="2" xfId="0" quotePrefix="1" applyFont="1" applyBorder="1" applyAlignment="1">
      <alignment horizontal="right" vertical="top" wrapText="1"/>
    </xf>
    <xf numFmtId="0" fontId="78" fillId="0" borderId="2" xfId="0" quotePrefix="1" applyFont="1" applyBorder="1" applyAlignment="1">
      <alignment horizontal="right" vertical="top" wrapText="1"/>
    </xf>
    <xf numFmtId="0" fontId="43" fillId="0" borderId="2" xfId="0" quotePrefix="1" applyFont="1" applyBorder="1" applyAlignment="1">
      <alignment horizontal="right" vertical="center" wrapText="1"/>
    </xf>
    <xf numFmtId="0" fontId="77" fillId="3" borderId="2" xfId="0" applyFont="1" applyFill="1" applyBorder="1"/>
    <xf numFmtId="0" fontId="77" fillId="3" borderId="2" xfId="0" applyFont="1" applyFill="1" applyBorder="1" applyAlignment="1">
      <alignment horizontal="right" vertical="center"/>
    </xf>
    <xf numFmtId="0" fontId="77" fillId="0" borderId="2" xfId="0" applyFont="1" applyBorder="1" applyAlignment="1">
      <alignment vertical="top" wrapText="1"/>
    </xf>
    <xf numFmtId="0" fontId="77" fillId="0" borderId="5" xfId="0" applyFont="1" applyBorder="1"/>
    <xf numFmtId="0" fontId="77" fillId="3" borderId="5" xfId="0" applyFont="1" applyFill="1" applyBorder="1"/>
    <xf numFmtId="0" fontId="78" fillId="0" borderId="5" xfId="0" applyFont="1" applyBorder="1"/>
    <xf numFmtId="0" fontId="77" fillId="0" borderId="8" xfId="0" applyFont="1" applyBorder="1"/>
    <xf numFmtId="0" fontId="77" fillId="0" borderId="6" xfId="0" applyFont="1" applyBorder="1"/>
    <xf numFmtId="0" fontId="61" fillId="3" borderId="2" xfId="0" applyFont="1" applyFill="1" applyBorder="1" applyAlignment="1">
      <alignment horizontal="center"/>
    </xf>
    <xf numFmtId="0" fontId="61" fillId="3" borderId="2" xfId="0" applyFont="1" applyFill="1" applyBorder="1"/>
    <xf numFmtId="0" fontId="61" fillId="3" borderId="8" xfId="0" applyFont="1" applyFill="1" applyBorder="1"/>
    <xf numFmtId="0" fontId="61" fillId="3" borderId="6" xfId="0" applyFont="1" applyFill="1" applyBorder="1"/>
    <xf numFmtId="0" fontId="78" fillId="0" borderId="2" xfId="0" applyFont="1" applyBorder="1" applyAlignment="1">
      <alignment horizontal="center"/>
    </xf>
    <xf numFmtId="0" fontId="78" fillId="0" borderId="6" xfId="0" applyFont="1" applyBorder="1"/>
    <xf numFmtId="0" fontId="78" fillId="0" borderId="8" xfId="0" applyFont="1" applyBorder="1"/>
    <xf numFmtId="165" fontId="77" fillId="0" borderId="2" xfId="0" applyNumberFormat="1" applyFont="1" applyBorder="1"/>
    <xf numFmtId="165" fontId="77" fillId="0" borderId="5" xfId="0" applyNumberFormat="1" applyFont="1" applyBorder="1"/>
    <xf numFmtId="165" fontId="78" fillId="0" borderId="2" xfId="0" applyNumberFormat="1" applyFont="1" applyBorder="1"/>
    <xf numFmtId="165" fontId="78" fillId="0" borderId="5" xfId="0" applyNumberFormat="1" applyFont="1" applyBorder="1"/>
    <xf numFmtId="0" fontId="77" fillId="0" borderId="2" xfId="1" applyFont="1" applyBorder="1" applyAlignment="1">
      <alignment horizontal="center"/>
    </xf>
    <xf numFmtId="2" fontId="77" fillId="0" borderId="2" xfId="0" applyNumberFormat="1" applyFont="1" applyBorder="1"/>
    <xf numFmtId="0" fontId="78" fillId="0" borderId="2" xfId="1" applyFont="1" applyBorder="1"/>
    <xf numFmtId="0" fontId="77" fillId="0" borderId="2" xfId="1" applyFont="1" applyBorder="1"/>
    <xf numFmtId="2" fontId="78" fillId="0" borderId="2" xfId="0" applyNumberFormat="1" applyFont="1" applyBorder="1"/>
    <xf numFmtId="2" fontId="78" fillId="0" borderId="2" xfId="1" applyNumberFormat="1" applyFont="1" applyBorder="1" applyAlignment="1"/>
    <xf numFmtId="165" fontId="78" fillId="0" borderId="2" xfId="1" applyNumberFormat="1" applyFont="1" applyBorder="1" applyAlignment="1"/>
    <xf numFmtId="0" fontId="87" fillId="0" borderId="2" xfId="0" applyFont="1" applyBorder="1"/>
    <xf numFmtId="2" fontId="78" fillId="2" borderId="2" xfId="0" applyNumberFormat="1" applyFont="1" applyFill="1" applyBorder="1" applyAlignment="1"/>
    <xf numFmtId="0" fontId="87" fillId="0" borderId="2" xfId="0" applyFont="1" applyBorder="1" applyAlignment="1">
      <alignment horizontal="center"/>
    </xf>
    <xf numFmtId="0" fontId="87" fillId="0" borderId="2" xfId="0" applyFont="1" applyBorder="1" applyAlignment="1">
      <alignment horizontal="left" vertical="top" wrapText="1"/>
    </xf>
    <xf numFmtId="2" fontId="87" fillId="0" borderId="2" xfId="0" applyNumberFormat="1" applyFont="1" applyBorder="1"/>
    <xf numFmtId="0" fontId="88" fillId="0" borderId="2" xfId="0" applyFont="1" applyBorder="1"/>
    <xf numFmtId="2" fontId="88" fillId="0" borderId="2" xfId="0" applyNumberFormat="1" applyFont="1" applyBorder="1"/>
    <xf numFmtId="0" fontId="77" fillId="0" borderId="17" xfId="0" applyFont="1" applyFill="1" applyBorder="1"/>
    <xf numFmtId="165" fontId="14" fillId="0" borderId="0" xfId="0" applyNumberFormat="1" applyFont="1"/>
    <xf numFmtId="2" fontId="14" fillId="0" borderId="0" xfId="0" applyNumberFormat="1" applyFont="1" applyBorder="1" applyAlignment="1">
      <alignment horizontal="left" wrapText="1"/>
    </xf>
    <xf numFmtId="2" fontId="13" fillId="0" borderId="0" xfId="0" applyNumberFormat="1" applyFont="1"/>
    <xf numFmtId="2" fontId="13" fillId="0" borderId="0" xfId="0" applyNumberFormat="1" applyFont="1" applyAlignment="1">
      <alignment vertical="top" wrapText="1"/>
    </xf>
    <xf numFmtId="1" fontId="14" fillId="0" borderId="2" xfId="0" applyNumberFormat="1" applyFont="1" applyBorder="1" applyAlignment="1">
      <alignment horizontal="right" vertical="center"/>
    </xf>
    <xf numFmtId="2" fontId="14" fillId="0" borderId="2" xfId="0" applyNumberFormat="1" applyFont="1" applyBorder="1" applyAlignment="1">
      <alignment horizontal="right" vertical="center"/>
    </xf>
    <xf numFmtId="1" fontId="14" fillId="0" borderId="2" xfId="0" applyNumberFormat="1" applyFont="1" applyBorder="1" applyAlignment="1">
      <alignment horizontal="right"/>
    </xf>
    <xf numFmtId="2" fontId="14" fillId="0" borderId="2" xfId="0" applyNumberFormat="1" applyFont="1" applyBorder="1" applyAlignment="1">
      <alignment horizontal="right"/>
    </xf>
    <xf numFmtId="1" fontId="9" fillId="3" borderId="2" xfId="0" applyNumberFormat="1" applyFont="1" applyFill="1" applyBorder="1" applyAlignment="1">
      <alignment horizontal="right"/>
    </xf>
    <xf numFmtId="2" fontId="9" fillId="3" borderId="2" xfId="0" applyNumberFormat="1" applyFont="1" applyFill="1" applyBorder="1" applyAlignment="1">
      <alignment horizontal="right"/>
    </xf>
    <xf numFmtId="0" fontId="9" fillId="0" borderId="6" xfId="0" applyFont="1" applyBorder="1" applyAlignment="1">
      <alignment horizontal="center" vertical="top" wrapText="1"/>
    </xf>
    <xf numFmtId="0" fontId="9" fillId="0" borderId="2" xfId="0" applyFont="1" applyBorder="1" applyAlignment="1">
      <alignment horizontal="center" vertical="top" wrapText="1"/>
    </xf>
    <xf numFmtId="0" fontId="9" fillId="0" borderId="2" xfId="0" applyFont="1" applyBorder="1" applyAlignment="1">
      <alignment horizontal="center" vertical="center"/>
    </xf>
    <xf numFmtId="0" fontId="39" fillId="0" borderId="0" xfId="0" applyFont="1" applyAlignment="1">
      <alignment horizontal="center"/>
    </xf>
    <xf numFmtId="0" fontId="14" fillId="0" borderId="0" xfId="0" applyFont="1"/>
    <xf numFmtId="0" fontId="9" fillId="0" borderId="2" xfId="1" applyFont="1" applyBorder="1" applyAlignment="1">
      <alignment horizontal="center" vertical="top" wrapText="1"/>
    </xf>
    <xf numFmtId="0" fontId="0" fillId="0" borderId="0" xfId="0" applyAlignment="1">
      <alignment wrapText="1"/>
    </xf>
    <xf numFmtId="0" fontId="89" fillId="0" borderId="2" xfId="0" applyFont="1" applyBorder="1" applyAlignment="1">
      <alignment horizontal="center" vertical="center" wrapText="1"/>
    </xf>
    <xf numFmtId="0" fontId="90" fillId="0" borderId="2" xfId="0" quotePrefix="1" applyFont="1" applyBorder="1" applyAlignment="1">
      <alignment horizontal="center" vertical="center" wrapText="1"/>
    </xf>
    <xf numFmtId="0" fontId="77" fillId="0" borderId="2" xfId="0" applyFont="1" applyBorder="1" applyAlignment="1">
      <alignment horizontal="center" vertical="center" wrapText="1"/>
    </xf>
    <xf numFmtId="0" fontId="78" fillId="0" borderId="2" xfId="0" applyFont="1" applyBorder="1" applyAlignment="1">
      <alignment horizontal="center" vertical="center" wrapText="1"/>
    </xf>
    <xf numFmtId="0" fontId="87" fillId="0" borderId="1" xfId="0" applyFont="1" applyBorder="1" applyAlignment="1">
      <alignment vertical="center" wrapText="1"/>
    </xf>
    <xf numFmtId="166" fontId="87" fillId="0" borderId="2" xfId="10" quotePrefix="1" applyNumberFormat="1" applyFont="1" applyBorder="1" applyAlignment="1">
      <alignment vertical="center" wrapText="1"/>
    </xf>
    <xf numFmtId="0" fontId="77" fillId="0" borderId="2" xfId="0" quotePrefix="1" applyFont="1" applyBorder="1" applyAlignment="1">
      <alignment horizontal="center" vertical="center" wrapText="1"/>
    </xf>
    <xf numFmtId="1" fontId="0" fillId="0" borderId="0" xfId="0" applyNumberFormat="1" applyBorder="1"/>
    <xf numFmtId="0" fontId="88" fillId="0" borderId="2" xfId="0" applyFont="1" applyBorder="1" applyAlignment="1">
      <alignment horizontal="left" vertical="center" wrapText="1"/>
    </xf>
    <xf numFmtId="0" fontId="88" fillId="3" borderId="2" xfId="0" applyFont="1" applyFill="1" applyBorder="1" applyAlignment="1">
      <alignment horizontal="left" vertical="center" wrapText="1"/>
    </xf>
    <xf numFmtId="0" fontId="77" fillId="0" borderId="2" xfId="0" quotePrefix="1" applyFont="1" applyBorder="1" applyAlignment="1">
      <alignment horizontal="left" vertical="center"/>
    </xf>
    <xf numFmtId="0" fontId="77" fillId="0" borderId="2" xfId="0" applyFont="1" applyBorder="1" applyAlignment="1">
      <alignment horizontal="left" vertical="center" wrapText="1"/>
    </xf>
    <xf numFmtId="0" fontId="90" fillId="0" borderId="2" xfId="0" quotePrefix="1" applyFont="1" applyBorder="1" applyAlignment="1">
      <alignment horizontal="left" vertical="center"/>
    </xf>
    <xf numFmtId="0" fontId="90" fillId="0" borderId="2" xfId="0" applyFont="1" applyBorder="1" applyAlignment="1">
      <alignment horizontal="left" vertical="center"/>
    </xf>
    <xf numFmtId="0" fontId="77" fillId="0" borderId="2" xfId="0" quotePrefix="1" applyFont="1" applyBorder="1" applyAlignment="1">
      <alignment horizontal="left" vertical="center" wrapText="1"/>
    </xf>
    <xf numFmtId="0" fontId="78" fillId="0" borderId="2" xfId="11" applyFont="1" applyBorder="1" applyAlignment="1">
      <alignment horizontal="left" vertical="center" wrapText="1"/>
    </xf>
    <xf numFmtId="0" fontId="90" fillId="0" borderId="2" xfId="0" quotePrefix="1" applyFont="1" applyBorder="1" applyAlignment="1">
      <alignment horizontal="left" vertical="center" wrapText="1"/>
    </xf>
    <xf numFmtId="0" fontId="77" fillId="0" borderId="2" xfId="0" applyFont="1" applyBorder="1" applyAlignment="1">
      <alignment horizontal="left" vertical="center"/>
    </xf>
    <xf numFmtId="0" fontId="90" fillId="0" borderId="2" xfId="0" quotePrefix="1" applyFont="1" applyBorder="1" applyAlignment="1">
      <alignment horizontal="right" vertical="center" wrapText="1"/>
    </xf>
    <xf numFmtId="0" fontId="90" fillId="0" borderId="2" xfId="0" quotePrefix="1" applyFont="1" applyBorder="1" applyAlignment="1">
      <alignment horizontal="right" vertical="center"/>
    </xf>
    <xf numFmtId="0" fontId="78" fillId="0" borderId="2" xfId="0" applyFont="1" applyBorder="1" applyAlignment="1">
      <alignment horizontal="left" vertical="center"/>
    </xf>
    <xf numFmtId="0" fontId="91" fillId="0" borderId="2" xfId="0" quotePrefix="1" applyFont="1" applyBorder="1" applyAlignment="1">
      <alignment horizontal="center" vertical="center" wrapText="1"/>
    </xf>
    <xf numFmtId="0" fontId="77" fillId="0" borderId="2" xfId="9" applyFont="1" applyBorder="1" applyAlignment="1">
      <alignment horizontal="center" vertical="center" wrapText="1"/>
    </xf>
    <xf numFmtId="0" fontId="88" fillId="3" borderId="2" xfId="0" applyFont="1" applyFill="1" applyBorder="1" applyAlignment="1">
      <alignment horizontal="center" vertical="center" wrapText="1"/>
    </xf>
    <xf numFmtId="0" fontId="88" fillId="0" borderId="2" xfId="0" applyFont="1" applyBorder="1" applyAlignment="1">
      <alignment horizontal="center" vertical="center" wrapText="1"/>
    </xf>
    <xf numFmtId="0" fontId="78" fillId="0" borderId="2" xfId="3" applyFont="1" applyBorder="1" applyAlignment="1">
      <alignment horizontal="center" vertical="center" wrapText="1"/>
    </xf>
    <xf numFmtId="0" fontId="88" fillId="0" borderId="2" xfId="3" applyFont="1" applyBorder="1" applyAlignment="1">
      <alignment horizontal="center" vertical="center" wrapText="1"/>
    </xf>
    <xf numFmtId="0" fontId="78" fillId="3" borderId="2" xfId="0" applyFont="1" applyFill="1" applyBorder="1" applyAlignment="1">
      <alignment horizontal="center" vertical="center" wrapText="1"/>
    </xf>
    <xf numFmtId="0" fontId="92" fillId="0" borderId="2" xfId="9" applyFont="1" applyBorder="1" applyAlignment="1">
      <alignment horizontal="center" vertical="center" wrapText="1"/>
    </xf>
    <xf numFmtId="0" fontId="66" fillId="0" borderId="2" xfId="3" applyFont="1" applyBorder="1" applyAlignment="1">
      <alignment horizontal="center" vertical="center" wrapText="1"/>
    </xf>
    <xf numFmtId="1" fontId="78" fillId="0" borderId="2" xfId="3" applyNumberFormat="1" applyFont="1" applyBorder="1" applyAlignment="1">
      <alignment horizontal="center" vertical="center" wrapText="1"/>
    </xf>
    <xf numFmtId="2" fontId="78" fillId="0" borderId="2" xfId="3" applyNumberFormat="1" applyFont="1" applyBorder="1" applyAlignment="1">
      <alignment horizontal="center" vertical="center" wrapText="1"/>
    </xf>
    <xf numFmtId="0" fontId="77" fillId="0" borderId="2" xfId="3" applyFont="1" applyBorder="1" applyAlignment="1">
      <alignment horizontal="center" vertical="center" wrapText="1"/>
    </xf>
    <xf numFmtId="0" fontId="87" fillId="0" borderId="2" xfId="3" applyFont="1" applyBorder="1" applyAlignment="1">
      <alignment horizontal="center" wrapText="1"/>
    </xf>
    <xf numFmtId="0" fontId="88" fillId="0" borderId="2" xfId="3" applyFont="1" applyBorder="1" applyAlignment="1">
      <alignment horizontal="center"/>
    </xf>
    <xf numFmtId="0" fontId="14" fillId="0" borderId="5" xfId="3"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13" fillId="0" borderId="0" xfId="1" applyFont="1" applyAlignment="1">
      <alignment horizontal="center"/>
    </xf>
    <xf numFmtId="0" fontId="0" fillId="0" borderId="0" xfId="0" applyAlignment="1">
      <alignment wrapText="1"/>
    </xf>
    <xf numFmtId="0" fontId="89" fillId="0" borderId="2" xfId="3" applyFont="1" applyBorder="1"/>
    <xf numFmtId="0" fontId="89" fillId="0" borderId="2" xfId="3" applyFont="1" applyBorder="1" applyAlignment="1">
      <alignment horizontal="center" vertical="center" wrapText="1"/>
    </xf>
    <xf numFmtId="0" fontId="89" fillId="0" borderId="2" xfId="3" applyFont="1" applyBorder="1" applyAlignment="1">
      <alignment horizontal="center" vertical="center"/>
    </xf>
    <xf numFmtId="0" fontId="89" fillId="0" borderId="2" xfId="3" applyFont="1" applyBorder="1" applyAlignment="1">
      <alignment horizontal="left"/>
    </xf>
    <xf numFmtId="0" fontId="89" fillId="0" borderId="5" xfId="3" applyFont="1" applyBorder="1"/>
    <xf numFmtId="0" fontId="89" fillId="0" borderId="9" xfId="3" applyFont="1" applyBorder="1"/>
    <xf numFmtId="0" fontId="89" fillId="0" borderId="9" xfId="3" applyFont="1" applyBorder="1" applyAlignment="1">
      <alignment horizontal="center" vertical="center"/>
    </xf>
    <xf numFmtId="0" fontId="92" fillId="0" borderId="9" xfId="3" applyFont="1" applyBorder="1" applyAlignment="1">
      <alignment horizontal="center" vertical="center"/>
    </xf>
    <xf numFmtId="0" fontId="92" fillId="0" borderId="9" xfId="3" applyFont="1" applyBorder="1"/>
    <xf numFmtId="0" fontId="92" fillId="0" borderId="2" xfId="3" applyFont="1" applyBorder="1" applyAlignment="1">
      <alignment horizontal="right" vertical="center"/>
    </xf>
    <xf numFmtId="0" fontId="92" fillId="0" borderId="2" xfId="3" applyFont="1" applyBorder="1" applyAlignment="1">
      <alignment horizontal="center" vertical="center"/>
    </xf>
    <xf numFmtId="0" fontId="92" fillId="0" borderId="2" xfId="3" applyFont="1" applyBorder="1"/>
    <xf numFmtId="0" fontId="89" fillId="0" borderId="1" xfId="3" applyFont="1" applyBorder="1" applyAlignment="1">
      <alignment horizontal="left"/>
    </xf>
    <xf numFmtId="0" fontId="89" fillId="0" borderId="10" xfId="3" applyFont="1" applyBorder="1" applyAlignment="1">
      <alignment horizontal="center" vertical="center"/>
    </xf>
    <xf numFmtId="0" fontId="89" fillId="0" borderId="3" xfId="3" applyFont="1" applyBorder="1" applyAlignment="1">
      <alignment horizontal="center" vertical="center"/>
    </xf>
    <xf numFmtId="0" fontId="89" fillId="0" borderId="9" xfId="3" applyFont="1" applyBorder="1" applyAlignment="1">
      <alignment horizontal="center" vertical="center" wrapText="1"/>
    </xf>
    <xf numFmtId="0" fontId="89" fillId="0" borderId="6" xfId="3" applyFont="1" applyBorder="1"/>
    <xf numFmtId="0" fontId="89" fillId="3" borderId="2" xfId="3" applyFont="1" applyFill="1" applyBorder="1" applyAlignment="1">
      <alignment horizontal="center" vertical="center" wrapText="1"/>
    </xf>
    <xf numFmtId="0" fontId="92" fillId="0" borderId="5" xfId="3" applyFont="1" applyBorder="1"/>
    <xf numFmtId="0" fontId="89" fillId="0" borderId="3" xfId="3" applyFont="1" applyBorder="1" applyAlignment="1">
      <alignment horizontal="center" vertical="center" wrapText="1"/>
    </xf>
    <xf numFmtId="0" fontId="89" fillId="0" borderId="2" xfId="3" applyFont="1" applyBorder="1" applyAlignment="1">
      <alignment horizontal="center"/>
    </xf>
    <xf numFmtId="0" fontId="92" fillId="0" borderId="2" xfId="3" applyFont="1" applyBorder="1" applyAlignment="1">
      <alignment horizontal="left"/>
    </xf>
    <xf numFmtId="0" fontId="19" fillId="0" borderId="0" xfId="3" applyFont="1"/>
    <xf numFmtId="0" fontId="19" fillId="0" borderId="0" xfId="3" applyFont="1" applyAlignment="1">
      <alignment wrapText="1"/>
    </xf>
    <xf numFmtId="0" fontId="19" fillId="0" borderId="0" xfId="0" applyFont="1"/>
    <xf numFmtId="0" fontId="13" fillId="0" borderId="0" xfId="1" applyFont="1" applyAlignment="1">
      <alignment horizontal="center" vertical="top" wrapText="1"/>
    </xf>
    <xf numFmtId="0" fontId="14" fillId="0" borderId="0" xfId="3" applyAlignment="1">
      <alignment wrapText="1"/>
    </xf>
    <xf numFmtId="0" fontId="11" fillId="0" borderId="0" xfId="3" applyFont="1" applyAlignment="1">
      <alignment wrapText="1"/>
    </xf>
    <xf numFmtId="0" fontId="89" fillId="0" borderId="2" xfId="0" applyFont="1" applyBorder="1" applyAlignment="1">
      <alignment wrapText="1"/>
    </xf>
    <xf numFmtId="0" fontId="89" fillId="0" borderId="1" xfId="0" applyFont="1" applyBorder="1" applyAlignment="1">
      <alignment wrapText="1"/>
    </xf>
    <xf numFmtId="0" fontId="89" fillId="0" borderId="10" xfId="0" applyFont="1" applyBorder="1" applyAlignment="1">
      <alignment horizontal="center" vertical="center" wrapText="1"/>
    </xf>
    <xf numFmtId="0" fontId="89" fillId="0" borderId="3" xfId="0" applyFont="1" applyBorder="1" applyAlignment="1">
      <alignment horizontal="center" vertical="center" wrapText="1"/>
    </xf>
    <xf numFmtId="0" fontId="92" fillId="0" borderId="2" xfId="3" applyFont="1" applyBorder="1" applyAlignment="1">
      <alignment horizontal="left" wrapText="1"/>
    </xf>
    <xf numFmtId="0" fontId="19" fillId="0" borderId="0" xfId="0" applyFont="1" applyAlignment="1">
      <alignment wrapText="1"/>
    </xf>
    <xf numFmtId="0" fontId="89" fillId="0" borderId="5" xfId="3" applyFont="1" applyBorder="1" applyAlignment="1">
      <alignment horizontal="center" vertical="center" wrapText="1"/>
    </xf>
    <xf numFmtId="0" fontId="14" fillId="0" borderId="2" xfId="3" applyBorder="1" applyAlignment="1">
      <alignment horizontal="center" vertical="center"/>
    </xf>
    <xf numFmtId="0" fontId="14" fillId="0" borderId="2" xfId="3" applyBorder="1" applyAlignment="1">
      <alignment horizontal="center" vertical="center" wrapText="1"/>
    </xf>
    <xf numFmtId="0" fontId="0" fillId="0" borderId="0" xfId="0"/>
    <xf numFmtId="0" fontId="14" fillId="0" borderId="2" xfId="3" applyBorder="1" applyAlignment="1">
      <alignment horizontal="center" vertical="center" wrapText="1"/>
    </xf>
    <xf numFmtId="0" fontId="24" fillId="0" borderId="2" xfId="3" applyFont="1" applyBorder="1" applyAlignment="1">
      <alignment horizontal="center" vertical="top" wrapText="1"/>
    </xf>
    <xf numFmtId="0" fontId="20" fillId="0" borderId="2" xfId="18" applyFont="1" applyBorder="1" applyAlignment="1">
      <alignment horizontal="center" vertical="center" wrapText="1"/>
    </xf>
    <xf numFmtId="0" fontId="20" fillId="0" borderId="2" xfId="18" applyFont="1" applyBorder="1" applyAlignment="1">
      <alignment horizontal="left" vertical="center" wrapText="1"/>
    </xf>
    <xf numFmtId="0" fontId="3" fillId="0" borderId="2" xfId="19" applyBorder="1"/>
    <xf numFmtId="2" fontId="3" fillId="0" borderId="2" xfId="19" applyNumberFormat="1" applyBorder="1"/>
    <xf numFmtId="0" fontId="20" fillId="3" borderId="2" xfId="18" applyFont="1" applyFill="1" applyBorder="1" applyAlignment="1">
      <alignment horizontal="left" vertical="center" wrapText="1"/>
    </xf>
    <xf numFmtId="0" fontId="3" fillId="3" borderId="2" xfId="19" applyFill="1" applyBorder="1"/>
    <xf numFmtId="2" fontId="3" fillId="3" borderId="2" xfId="19" applyNumberFormat="1" applyFill="1" applyBorder="1"/>
    <xf numFmtId="0" fontId="14" fillId="0" borderId="2" xfId="18" applyFont="1" applyBorder="1" applyAlignment="1">
      <alignment horizontal="center"/>
    </xf>
    <xf numFmtId="0" fontId="3" fillId="0" borderId="2" xfId="18" applyFont="1" applyBorder="1"/>
    <xf numFmtId="2" fontId="55" fillId="0" borderId="2" xfId="0" applyNumberFormat="1" applyFont="1" applyBorder="1"/>
    <xf numFmtId="167" fontId="55" fillId="0" borderId="2" xfId="0" applyNumberFormat="1" applyFont="1" applyBorder="1"/>
    <xf numFmtId="0" fontId="0" fillId="0" borderId="2" xfId="6" applyFont="1" applyBorder="1" applyAlignment="1"/>
    <xf numFmtId="0" fontId="89" fillId="0" borderId="2" xfId="3" applyFont="1" applyBorder="1" applyAlignment="1">
      <alignment horizontal="center" vertical="center"/>
    </xf>
    <xf numFmtId="0" fontId="29" fillId="0" borderId="2" xfId="1" applyFont="1" applyBorder="1" applyAlignment="1">
      <alignment horizontal="center" vertical="top" wrapText="1"/>
    </xf>
    <xf numFmtId="2" fontId="14" fillId="0" borderId="0" xfId="3" applyNumberFormat="1" applyFont="1" applyBorder="1"/>
    <xf numFmtId="0" fontId="14" fillId="0" borderId="0" xfId="0" applyFont="1" applyAlignment="1">
      <alignment horizontal="center"/>
    </xf>
    <xf numFmtId="0" fontId="14" fillId="0" borderId="0" xfId="0" applyFont="1"/>
    <xf numFmtId="0" fontId="24" fillId="0" borderId="9" xfId="4" applyFont="1" applyBorder="1" applyAlignment="1">
      <alignment horizontal="center" vertical="top"/>
    </xf>
    <xf numFmtId="0" fontId="24" fillId="0" borderId="9" xfId="4" applyFont="1" applyBorder="1" applyAlignment="1">
      <alignment horizontal="center" vertical="top" wrapText="1"/>
    </xf>
    <xf numFmtId="0" fontId="24" fillId="0" borderId="6" xfId="4" applyFont="1" applyBorder="1" applyAlignment="1">
      <alignment horizontal="center" vertical="top" wrapText="1"/>
    </xf>
    <xf numFmtId="0" fontId="0" fillId="0" borderId="0" xfId="0"/>
    <xf numFmtId="0" fontId="9" fillId="0" borderId="2" xfId="0" applyFont="1" applyBorder="1" applyAlignment="1">
      <alignment horizontal="center" vertical="center"/>
    </xf>
    <xf numFmtId="2" fontId="14" fillId="0" borderId="0" xfId="0" applyNumberFormat="1" applyFont="1"/>
    <xf numFmtId="2" fontId="9" fillId="0" borderId="0" xfId="0" applyNumberFormat="1" applyFont="1"/>
    <xf numFmtId="0" fontId="77" fillId="0" borderId="2" xfId="0" quotePrefix="1" applyFont="1" applyBorder="1" applyAlignment="1">
      <alignment horizontal="center" vertical="top" wrapText="1"/>
    </xf>
    <xf numFmtId="0" fontId="77" fillId="0" borderId="2" xfId="24" quotePrefix="1" applyFont="1" applyBorder="1" applyAlignment="1">
      <alignment horizontal="center" vertical="top" wrapText="1"/>
    </xf>
    <xf numFmtId="0" fontId="78" fillId="0" borderId="2" xfId="3" applyFont="1" applyBorder="1" applyAlignment="1">
      <alignment horizontal="left" vertical="center"/>
    </xf>
    <xf numFmtId="1" fontId="9" fillId="0" borderId="0" xfId="0" applyNumberFormat="1" applyFont="1" applyAlignment="1">
      <alignment vertical="top" wrapText="1"/>
    </xf>
    <xf numFmtId="2" fontId="0" fillId="0" borderId="0" xfId="0" applyNumberFormat="1" applyBorder="1"/>
    <xf numFmtId="0" fontId="77" fillId="0" borderId="2" xfId="3" applyFont="1" applyBorder="1" applyAlignment="1">
      <alignment horizontal="left" vertical="center"/>
    </xf>
    <xf numFmtId="0" fontId="92" fillId="0" borderId="2" xfId="3" applyFont="1" applyBorder="1" applyAlignment="1">
      <alignment horizontal="center" vertical="center" wrapText="1"/>
    </xf>
    <xf numFmtId="0" fontId="89" fillId="0" borderId="2" xfId="3" applyFont="1" applyBorder="1" applyAlignment="1">
      <alignment horizontal="center" vertical="center" wrapText="1"/>
    </xf>
    <xf numFmtId="165" fontId="0" fillId="0" borderId="0" xfId="0" applyNumberFormat="1" applyBorder="1"/>
    <xf numFmtId="0" fontId="89" fillId="0" borderId="2" xfId="3" applyFont="1" applyBorder="1" applyAlignment="1">
      <alignment horizontal="center" vertical="center"/>
    </xf>
    <xf numFmtId="2" fontId="14" fillId="3" borderId="0" xfId="0" applyNumberFormat="1" applyFont="1" applyFill="1"/>
    <xf numFmtId="168" fontId="9" fillId="0" borderId="0" xfId="0" applyNumberFormat="1" applyFont="1" applyBorder="1" applyAlignment="1">
      <alignment horizontal="center"/>
    </xf>
    <xf numFmtId="169" fontId="9" fillId="0" borderId="0" xfId="0" applyNumberFormat="1" applyFont="1" applyBorder="1" applyAlignment="1">
      <alignment horizontal="center"/>
    </xf>
    <xf numFmtId="0" fontId="20" fillId="0" borderId="2" xfId="0" applyFont="1" applyBorder="1" applyAlignment="1">
      <alignment horizontal="right"/>
    </xf>
    <xf numFmtId="0" fontId="77" fillId="0" borderId="2" xfId="0" applyFont="1" applyBorder="1" applyAlignment="1">
      <alignment horizontal="right" vertical="center" wrapText="1"/>
    </xf>
    <xf numFmtId="0" fontId="77" fillId="0" borderId="2" xfId="0" applyFont="1" applyBorder="1" applyAlignment="1">
      <alignment horizontal="right" vertical="top" wrapText="1"/>
    </xf>
    <xf numFmtId="0" fontId="77" fillId="0" borderId="2" xfId="1" applyFont="1" applyBorder="1" applyAlignment="1">
      <alignment horizontal="right" vertical="center"/>
    </xf>
    <xf numFmtId="0" fontId="77" fillId="0" borderId="2" xfId="1" applyFont="1" applyBorder="1" applyAlignment="1">
      <alignment horizontal="right" vertical="center" wrapText="1"/>
    </xf>
    <xf numFmtId="0" fontId="78" fillId="3" borderId="2" xfId="1" applyFont="1" applyFill="1" applyBorder="1" applyAlignment="1">
      <alignment horizontal="center" vertical="center"/>
    </xf>
    <xf numFmtId="0" fontId="90" fillId="0" borderId="2" xfId="0" applyFont="1" applyBorder="1" applyAlignment="1">
      <alignment horizontal="center" vertical="top" wrapText="1"/>
    </xf>
    <xf numFmtId="0" fontId="77" fillId="0" borderId="2" xfId="3" applyFont="1" applyBorder="1" applyAlignment="1">
      <alignment horizontal="center"/>
    </xf>
    <xf numFmtId="0" fontId="77" fillId="0" borderId="2" xfId="3" applyFont="1" applyBorder="1"/>
    <xf numFmtId="0" fontId="78" fillId="0" borderId="2" xfId="1" applyFont="1" applyBorder="1" applyAlignment="1">
      <alignment horizontal="right" vertical="center"/>
    </xf>
    <xf numFmtId="0" fontId="66" fillId="0" borderId="2" xfId="0" applyFont="1" applyBorder="1" applyAlignment="1">
      <alignment horizontal="left" vertical="center" wrapText="1"/>
    </xf>
    <xf numFmtId="0" fontId="59" fillId="0" borderId="2" xfId="0" applyFont="1" applyBorder="1" applyAlignment="1">
      <alignment horizontal="left" vertical="center" wrapText="1"/>
    </xf>
    <xf numFmtId="0" fontId="89" fillId="0" borderId="2" xfId="0" applyFont="1" applyBorder="1" applyAlignment="1">
      <alignment horizontal="left" vertical="center"/>
    </xf>
    <xf numFmtId="0" fontId="79" fillId="0" borderId="2" xfId="0" applyFont="1" applyBorder="1" applyAlignment="1">
      <alignment horizontal="left" vertical="center"/>
    </xf>
    <xf numFmtId="17" fontId="66" fillId="0" borderId="2" xfId="0" applyNumberFormat="1" applyFont="1" applyBorder="1" applyAlignment="1">
      <alignment horizontal="left" vertical="center" wrapText="1"/>
    </xf>
    <xf numFmtId="165" fontId="9" fillId="0" borderId="0" xfId="0" applyNumberFormat="1" applyFont="1"/>
    <xf numFmtId="49" fontId="77" fillId="3" borderId="2" xfId="0" applyNumberFormat="1" applyFont="1" applyFill="1" applyBorder="1" applyAlignment="1">
      <alignment horizontal="left" vertical="center"/>
    </xf>
    <xf numFmtId="0" fontId="0" fillId="3" borderId="2" xfId="6" applyFont="1" applyFill="1" applyBorder="1" applyAlignment="1"/>
    <xf numFmtId="0" fontId="0" fillId="3" borderId="2" xfId="0" applyFont="1" applyFill="1" applyBorder="1" applyAlignment="1"/>
    <xf numFmtId="0" fontId="77" fillId="0" borderId="0" xfId="0" applyFont="1" applyFill="1" applyBorder="1"/>
    <xf numFmtId="2" fontId="14" fillId="0" borderId="0" xfId="4" applyNumberFormat="1" applyFont="1"/>
    <xf numFmtId="0" fontId="9" fillId="0" borderId="5" xfId="4" applyFont="1" applyBorder="1" applyAlignment="1">
      <alignment horizontal="center"/>
    </xf>
    <xf numFmtId="0" fontId="9" fillId="0" borderId="6" xfId="4" applyFont="1" applyBorder="1" applyAlignment="1">
      <alignment horizontal="left"/>
    </xf>
    <xf numFmtId="2" fontId="14" fillId="0" borderId="0" xfId="3" applyNumberFormat="1"/>
    <xf numFmtId="0" fontId="14" fillId="0" borderId="0" xfId="0" applyFont="1"/>
    <xf numFmtId="0" fontId="42" fillId="0" borderId="1" xfId="0" applyFont="1" applyBorder="1" applyAlignment="1">
      <alignment horizontal="center" vertical="center" wrapText="1"/>
    </xf>
    <xf numFmtId="0" fontId="42" fillId="3" borderId="1"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92" fillId="0" borderId="2" xfId="0" applyFont="1" applyBorder="1" applyAlignment="1">
      <alignment horizontal="center" vertical="center" wrapText="1"/>
    </xf>
    <xf numFmtId="165" fontId="0" fillId="0" borderId="0" xfId="0" applyNumberFormat="1"/>
    <xf numFmtId="0" fontId="78" fillId="0" borderId="0" xfId="0" applyFont="1" applyBorder="1"/>
    <xf numFmtId="165" fontId="78" fillId="0" borderId="0" xfId="0" applyNumberFormat="1" applyFont="1" applyBorder="1"/>
    <xf numFmtId="0" fontId="21" fillId="0" borderId="0" xfId="0" applyFont="1" applyAlignment="1">
      <alignment horizontal="left"/>
    </xf>
    <xf numFmtId="2" fontId="77" fillId="0" borderId="5" xfId="0" applyNumberFormat="1" applyFont="1" applyBorder="1"/>
    <xf numFmtId="0" fontId="96" fillId="0" borderId="2" xfId="1" applyFont="1" applyBorder="1" applyAlignment="1">
      <alignment horizontal="right" vertical="top" wrapText="1"/>
    </xf>
    <xf numFmtId="1" fontId="54" fillId="0" borderId="0" xfId="1" applyNumberFormat="1"/>
    <xf numFmtId="1" fontId="25" fillId="0" borderId="0" xfId="1" applyNumberFormat="1" applyFont="1" applyAlignment="1">
      <alignment horizontal="center"/>
    </xf>
    <xf numFmtId="0" fontId="97" fillId="0" borderId="2" xfId="1" applyFont="1" applyBorder="1" applyAlignment="1">
      <alignment horizontal="right" vertical="top" wrapText="1"/>
    </xf>
    <xf numFmtId="0" fontId="43" fillId="0" borderId="0" xfId="0" applyFont="1" applyFill="1" applyBorder="1" applyAlignment="1">
      <alignment horizontal="center" vertical="top" wrapText="1"/>
    </xf>
    <xf numFmtId="2" fontId="96" fillId="0" borderId="2" xfId="1" applyNumberFormat="1" applyFont="1" applyBorder="1" applyAlignment="1">
      <alignment horizontal="right" vertical="top" wrapText="1"/>
    </xf>
    <xf numFmtId="165" fontId="14" fillId="3" borderId="0" xfId="0" applyNumberFormat="1" applyFont="1" applyFill="1"/>
    <xf numFmtId="0" fontId="9" fillId="0" borderId="5" xfId="0" applyFont="1" applyBorder="1" applyAlignment="1">
      <alignment horizontal="center" vertical="top" wrapText="1"/>
    </xf>
    <xf numFmtId="0" fontId="9" fillId="3" borderId="2" xfId="0" applyFont="1" applyFill="1" applyBorder="1" applyAlignment="1">
      <alignment horizontal="center" vertical="top" wrapText="1"/>
    </xf>
    <xf numFmtId="0" fontId="9" fillId="3" borderId="0" xfId="0" applyFont="1" applyFill="1" applyBorder="1" applyAlignment="1">
      <alignment horizontal="right"/>
    </xf>
    <xf numFmtId="0" fontId="9" fillId="3" borderId="5" xfId="0" applyFont="1" applyFill="1" applyBorder="1" applyAlignment="1">
      <alignment horizontal="center" vertical="top" wrapText="1"/>
    </xf>
    <xf numFmtId="0" fontId="9" fillId="0" borderId="0" xfId="3" applyFont="1" applyAlignment="1">
      <alignment horizontal="left"/>
    </xf>
    <xf numFmtId="0" fontId="14" fillId="0" borderId="0" xfId="3" applyFont="1"/>
    <xf numFmtId="0" fontId="98" fillId="0" borderId="2" xfId="0" quotePrefix="1" applyFont="1" applyBorder="1" applyAlignment="1">
      <alignment horizontal="center" vertical="top" wrapText="1"/>
    </xf>
    <xf numFmtId="0" fontId="42" fillId="0" borderId="2" xfId="0" applyFont="1" applyBorder="1" applyAlignment="1">
      <alignment horizontal="center" vertical="top" wrapText="1"/>
    </xf>
    <xf numFmtId="0" fontId="9" fillId="3" borderId="2" xfId="0" applyFont="1" applyFill="1" applyBorder="1" applyAlignment="1">
      <alignment horizontal="center" vertical="top" wrapText="1"/>
    </xf>
    <xf numFmtId="0" fontId="13" fillId="0" borderId="2" xfId="1" applyFont="1" applyBorder="1" applyAlignment="1">
      <alignment horizontal="right" vertical="center" wrapText="1"/>
    </xf>
    <xf numFmtId="0" fontId="13" fillId="0" borderId="2" xfId="1" applyFont="1" applyBorder="1" applyAlignment="1">
      <alignment horizontal="left" vertical="center" wrapText="1"/>
    </xf>
    <xf numFmtId="0" fontId="13" fillId="0" borderId="2" xfId="1" applyFont="1" applyBorder="1" applyAlignment="1">
      <alignment horizontal="left" wrapText="1"/>
    </xf>
    <xf numFmtId="0" fontId="99" fillId="0" borderId="2" xfId="0" applyFont="1" applyBorder="1" applyAlignment="1">
      <alignment horizontal="right" vertical="center"/>
    </xf>
    <xf numFmtId="2" fontId="14" fillId="0" borderId="0" xfId="4" applyNumberFormat="1"/>
    <xf numFmtId="0" fontId="9" fillId="3" borderId="2" xfId="0" applyFont="1" applyFill="1" applyBorder="1" applyAlignment="1">
      <alignment horizontal="center" vertical="top" wrapText="1"/>
    </xf>
    <xf numFmtId="0" fontId="43" fillId="0" borderId="10" xfId="0" applyFont="1" applyFill="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center"/>
    </xf>
    <xf numFmtId="0" fontId="14" fillId="0" borderId="0" xfId="0" applyFont="1"/>
    <xf numFmtId="0" fontId="22" fillId="3" borderId="0" xfId="0" applyFont="1" applyFill="1" applyAlignment="1"/>
    <xf numFmtId="0" fontId="0" fillId="3" borderId="2" xfId="0" applyFill="1" applyBorder="1" applyAlignment="1">
      <alignment horizontal="center"/>
    </xf>
    <xf numFmtId="0" fontId="69" fillId="3" borderId="2" xfId="6" applyFill="1" applyBorder="1"/>
    <xf numFmtId="0" fontId="69" fillId="3" borderId="2" xfId="6" applyFill="1" applyBorder="1" applyAlignment="1">
      <alignment horizontal="left"/>
    </xf>
    <xf numFmtId="0" fontId="78" fillId="0" borderId="0" xfId="3" applyFont="1" applyBorder="1" applyAlignment="1">
      <alignment horizontal="left" vertical="center"/>
    </xf>
    <xf numFmtId="0" fontId="92" fillId="0" borderId="0" xfId="3" applyFont="1" applyBorder="1" applyAlignment="1">
      <alignment horizontal="center" vertical="center" wrapText="1"/>
    </xf>
    <xf numFmtId="0" fontId="9" fillId="0" borderId="0" xfId="1" applyFont="1" applyAlignment="1">
      <alignment horizontal="center" vertical="center" wrapText="1"/>
    </xf>
    <xf numFmtId="0" fontId="9" fillId="0" borderId="0" xfId="1" applyFont="1" applyAlignment="1">
      <alignment horizontal="center" vertical="center"/>
    </xf>
    <xf numFmtId="0" fontId="9" fillId="3" borderId="0" xfId="0" applyFont="1" applyFill="1" applyAlignment="1"/>
    <xf numFmtId="0" fontId="9" fillId="3" borderId="0" xfId="0" applyFont="1" applyFill="1" applyAlignment="1">
      <alignment vertical="top" wrapText="1"/>
    </xf>
    <xf numFmtId="2" fontId="99" fillId="0" borderId="2" xfId="0" applyNumberFormat="1" applyFont="1" applyBorder="1" applyAlignment="1">
      <alignment horizontal="right" vertical="center"/>
    </xf>
    <xf numFmtId="2" fontId="100" fillId="0" borderId="2" xfId="0" applyNumberFormat="1" applyFont="1" applyBorder="1" applyAlignment="1">
      <alignment horizontal="right" vertical="center"/>
    </xf>
    <xf numFmtId="1" fontId="14" fillId="0" borderId="0" xfId="0" applyNumberFormat="1" applyFont="1"/>
    <xf numFmtId="2" fontId="20" fillId="0" borderId="0" xfId="0" applyNumberFormat="1" applyFont="1"/>
    <xf numFmtId="0" fontId="9" fillId="0" borderId="0" xfId="1" applyFont="1" applyAlignment="1">
      <alignment horizontal="center"/>
    </xf>
    <xf numFmtId="0" fontId="9" fillId="0" borderId="0" xfId="1" applyFont="1" applyAlignment="1">
      <alignment horizontal="center" vertical="top" wrapText="1"/>
    </xf>
    <xf numFmtId="0" fontId="14" fillId="0" borderId="0" xfId="0" applyFont="1"/>
    <xf numFmtId="0" fontId="19" fillId="0" borderId="2" xfId="3" applyFont="1" applyBorder="1"/>
    <xf numFmtId="0" fontId="89" fillId="0" borderId="2" xfId="0" applyFont="1" applyBorder="1"/>
    <xf numFmtId="165" fontId="89" fillId="0" borderId="2" xfId="0" applyNumberFormat="1" applyFont="1" applyBorder="1"/>
    <xf numFmtId="0" fontId="13" fillId="0" borderId="2" xfId="3" applyFont="1" applyBorder="1"/>
    <xf numFmtId="0" fontId="92" fillId="0" borderId="2" xfId="0" applyFont="1" applyBorder="1"/>
    <xf numFmtId="165" fontId="92" fillId="0" borderId="2" xfId="0" applyNumberFormat="1" applyFont="1" applyBorder="1"/>
    <xf numFmtId="0" fontId="19" fillId="0" borderId="2" xfId="3" applyFont="1" applyBorder="1" applyAlignment="1">
      <alignment horizontal="center"/>
    </xf>
    <xf numFmtId="0" fontId="19" fillId="3" borderId="2" xfId="3" applyFont="1" applyFill="1" applyBorder="1"/>
    <xf numFmtId="0" fontId="13" fillId="0" borderId="2" xfId="3" applyFont="1" applyBorder="1" applyAlignment="1">
      <alignment horizontal="center"/>
    </xf>
    <xf numFmtId="0" fontId="22" fillId="3" borderId="0" xfId="0" applyFont="1" applyFill="1" applyAlignment="1">
      <alignment horizontal="center"/>
    </xf>
    <xf numFmtId="0" fontId="48" fillId="0" borderId="0" xfId="0" applyFont="1" applyAlignment="1">
      <alignment horizontal="center" wrapText="1"/>
    </xf>
    <xf numFmtId="0" fontId="9" fillId="0" borderId="0" xfId="0" applyFont="1" applyAlignment="1">
      <alignment horizontal="center"/>
    </xf>
    <xf numFmtId="0" fontId="9" fillId="0" borderId="0" xfId="0" applyFont="1" applyAlignment="1">
      <alignment horizontal="center" vertical="top"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2" fillId="0" borderId="2" xfId="0" applyFont="1" applyBorder="1" applyAlignment="1">
      <alignment horizontal="center"/>
    </xf>
    <xf numFmtId="0" fontId="20" fillId="0" borderId="0" xfId="0" applyFont="1" applyBorder="1" applyAlignment="1">
      <alignment horizontal="center"/>
    </xf>
    <xf numFmtId="0" fontId="22" fillId="0" borderId="2" xfId="0" applyFont="1" applyBorder="1" applyAlignment="1">
      <alignment horizontal="center" wrapText="1"/>
    </xf>
    <xf numFmtId="0" fontId="22" fillId="0" borderId="1" xfId="0" applyFont="1" applyBorder="1" applyAlignment="1">
      <alignment horizontal="center" vertical="top" wrapText="1"/>
    </xf>
    <xf numFmtId="0" fontId="22" fillId="0" borderId="3" xfId="0" applyFont="1" applyBorder="1" applyAlignment="1">
      <alignment horizontal="center" vertical="top" wrapText="1"/>
    </xf>
    <xf numFmtId="0" fontId="13" fillId="3" borderId="5"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0" borderId="5" xfId="0" applyFont="1" applyBorder="1" applyAlignment="1">
      <alignment horizontal="center"/>
    </xf>
    <xf numFmtId="0" fontId="9" fillId="0" borderId="6" xfId="0" applyFont="1" applyBorder="1" applyAlignment="1">
      <alignment horizontal="center"/>
    </xf>
    <xf numFmtId="0" fontId="22" fillId="0" borderId="0" xfId="0" applyFont="1" applyBorder="1" applyAlignment="1">
      <alignment horizontal="left" wrapText="1"/>
    </xf>
    <xf numFmtId="0" fontId="9" fillId="0" borderId="5"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9" fillId="0" borderId="5" xfId="0" applyFont="1" applyBorder="1" applyAlignment="1">
      <alignment horizontal="center" vertical="top" wrapText="1"/>
    </xf>
    <xf numFmtId="0" fontId="9" fillId="0" borderId="9" xfId="0" applyFont="1" applyBorder="1" applyAlignment="1">
      <alignment horizontal="center" vertical="top" wrapText="1"/>
    </xf>
    <xf numFmtId="0" fontId="9" fillId="0" borderId="6" xfId="0" applyFont="1" applyBorder="1" applyAlignment="1">
      <alignment horizontal="center" vertical="top" wrapText="1"/>
    </xf>
    <xf numFmtId="0" fontId="9" fillId="0" borderId="13" xfId="0" applyFont="1" applyBorder="1" applyAlignment="1">
      <alignment horizontal="left" vertical="top" wrapText="1"/>
    </xf>
    <xf numFmtId="0" fontId="14" fillId="0" borderId="2" xfId="0" applyFont="1" applyBorder="1" applyAlignment="1">
      <alignment horizontal="center"/>
    </xf>
    <xf numFmtId="0" fontId="9" fillId="0" borderId="0" xfId="0" applyFont="1" applyBorder="1" applyAlignment="1">
      <alignment horizontal="left" vertical="top" wrapText="1"/>
    </xf>
    <xf numFmtId="2" fontId="9" fillId="0" borderId="2" xfId="0" applyNumberFormat="1" applyFont="1" applyBorder="1" applyAlignment="1">
      <alignment horizontal="center"/>
    </xf>
    <xf numFmtId="0" fontId="9" fillId="0" borderId="2" xfId="0" applyFont="1" applyBorder="1" applyAlignment="1">
      <alignment horizontal="center"/>
    </xf>
    <xf numFmtId="2" fontId="14" fillId="0" borderId="2" xfId="0" applyNumberFormat="1"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24" fillId="0" borderId="5" xfId="0" quotePrefix="1" applyFont="1" applyBorder="1" applyAlignment="1">
      <alignment horizontal="center" vertical="top" wrapText="1"/>
    </xf>
    <xf numFmtId="0" fontId="24" fillId="0" borderId="6" xfId="0" quotePrefix="1" applyFont="1" applyBorder="1" applyAlignment="1">
      <alignment horizontal="center" vertical="top" wrapText="1"/>
    </xf>
    <xf numFmtId="0" fontId="9" fillId="0" borderId="2" xfId="0" applyFont="1" applyBorder="1" applyAlignment="1">
      <alignment horizontal="center" vertical="top" wrapText="1"/>
    </xf>
    <xf numFmtId="0" fontId="9" fillId="0" borderId="2" xfId="0" applyFont="1" applyBorder="1" applyAlignment="1">
      <alignment horizontal="center" vertical="center"/>
    </xf>
    <xf numFmtId="0" fontId="9" fillId="0" borderId="12" xfId="0" applyFont="1" applyBorder="1" applyAlignment="1">
      <alignment horizontal="center" vertical="top"/>
    </xf>
    <xf numFmtId="0" fontId="9" fillId="0" borderId="13" xfId="0" applyFont="1" applyBorder="1" applyAlignment="1">
      <alignment horizontal="center" vertical="top"/>
    </xf>
    <xf numFmtId="0" fontId="9" fillId="0" borderId="14" xfId="0" applyFont="1" applyBorder="1" applyAlignment="1">
      <alignment horizontal="center" vertical="top"/>
    </xf>
    <xf numFmtId="0" fontId="9" fillId="0" borderId="8" xfId="0" applyFont="1" applyBorder="1" applyAlignment="1">
      <alignment horizontal="center" vertical="top"/>
    </xf>
    <xf numFmtId="0" fontId="9" fillId="0" borderId="7" xfId="0" applyFont="1" applyBorder="1" applyAlignment="1">
      <alignment horizontal="center" vertical="top"/>
    </xf>
    <xf numFmtId="0" fontId="9" fillId="0" borderId="15" xfId="0" applyFont="1" applyBorder="1" applyAlignment="1">
      <alignment horizontal="center" vertical="top"/>
    </xf>
    <xf numFmtId="0" fontId="9" fillId="0" borderId="2" xfId="0" applyFont="1" applyBorder="1" applyAlignment="1">
      <alignment horizontal="left"/>
    </xf>
    <xf numFmtId="2" fontId="14" fillId="0" borderId="5" xfId="0" applyNumberFormat="1" applyFont="1" applyBorder="1" applyAlignment="1">
      <alignment horizontal="center"/>
    </xf>
    <xf numFmtId="2" fontId="14" fillId="0" borderId="6" xfId="0" applyNumberFormat="1" applyFont="1" applyBorder="1" applyAlignment="1">
      <alignment horizontal="center"/>
    </xf>
    <xf numFmtId="0" fontId="24" fillId="0" borderId="2" xfId="0" quotePrefix="1" applyFont="1" applyBorder="1" applyAlignment="1">
      <alignment horizontal="center" vertical="top" wrapText="1"/>
    </xf>
    <xf numFmtId="0" fontId="21" fillId="0" borderId="0" xfId="0" applyFont="1" applyAlignment="1">
      <alignment horizontal="right"/>
    </xf>
    <xf numFmtId="0" fontId="13" fillId="0" borderId="0" xfId="0" applyFont="1" applyAlignment="1">
      <alignment horizontal="center"/>
    </xf>
    <xf numFmtId="0" fontId="18" fillId="0" borderId="0" xfId="0" applyFont="1" applyAlignment="1">
      <alignment horizontal="center"/>
    </xf>
    <xf numFmtId="0" fontId="12" fillId="0" borderId="0" xfId="0" applyFont="1" applyAlignment="1">
      <alignment horizontal="center"/>
    </xf>
    <xf numFmtId="0" fontId="9" fillId="0" borderId="0" xfId="0" applyFont="1" applyAlignment="1">
      <alignment horizontal="left"/>
    </xf>
    <xf numFmtId="0" fontId="9" fillId="0" borderId="2" xfId="0" applyFont="1" applyBorder="1" applyAlignment="1">
      <alignment horizontal="center" vertical="top"/>
    </xf>
    <xf numFmtId="0" fontId="9" fillId="0" borderId="5" xfId="0" applyFont="1" applyBorder="1" applyAlignment="1">
      <alignment horizontal="left" vertical="top" wrapText="1"/>
    </xf>
    <xf numFmtId="0" fontId="9" fillId="0" borderId="9" xfId="0" applyFont="1" applyBorder="1" applyAlignment="1">
      <alignment horizontal="left" vertical="top" wrapText="1"/>
    </xf>
    <xf numFmtId="0" fontId="9" fillId="0" borderId="6" xfId="0" applyFont="1" applyBorder="1" applyAlignment="1">
      <alignment horizontal="left" vertical="top" wrapText="1"/>
    </xf>
    <xf numFmtId="0" fontId="24" fillId="0" borderId="9" xfId="0" quotePrefix="1" applyFont="1" applyBorder="1" applyAlignment="1">
      <alignment horizontal="center" vertical="top" wrapText="1"/>
    </xf>
    <xf numFmtId="0" fontId="9" fillId="0" borderId="0" xfId="0" applyFont="1" applyBorder="1" applyAlignment="1">
      <alignment horizontal="left"/>
    </xf>
    <xf numFmtId="0" fontId="9" fillId="0" borderId="2"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0" xfId="0" applyFont="1" applyAlignment="1">
      <alignment horizontal="left" vertical="top" wrapText="1"/>
    </xf>
    <xf numFmtId="0" fontId="14" fillId="0" borderId="0" xfId="0" applyFont="1" applyBorder="1" applyAlignment="1">
      <alignment horizontal="center"/>
    </xf>
    <xf numFmtId="0" fontId="22" fillId="0" borderId="0" xfId="0" applyFont="1" applyAlignment="1">
      <alignment horizontal="center"/>
    </xf>
    <xf numFmtId="0" fontId="23" fillId="0" borderId="0" xfId="0" applyFont="1" applyAlignment="1">
      <alignment horizontal="center"/>
    </xf>
    <xf numFmtId="0" fontId="9" fillId="0" borderId="1" xfId="0" applyFont="1" applyBorder="1" applyAlignment="1">
      <alignment vertical="top"/>
    </xf>
    <xf numFmtId="0" fontId="9" fillId="0" borderId="3" xfId="0" applyFont="1" applyBorder="1" applyAlignment="1">
      <alignment vertical="top"/>
    </xf>
    <xf numFmtId="0" fontId="9" fillId="0" borderId="9"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56" fillId="0" borderId="7" xfId="0" applyFont="1" applyBorder="1" applyAlignment="1">
      <alignment horizontal="center"/>
    </xf>
    <xf numFmtId="0" fontId="22" fillId="0" borderId="2" xfId="5" applyFont="1" applyBorder="1" applyAlignment="1">
      <alignment horizontal="center" vertical="top" wrapText="1"/>
    </xf>
    <xf numFmtId="0" fontId="22" fillId="0" borderId="1" xfId="5" applyFont="1" applyBorder="1" applyAlignment="1">
      <alignment horizontal="center" vertical="center" wrapText="1"/>
    </xf>
    <xf numFmtId="0" fontId="22" fillId="0" borderId="10" xfId="5" applyFont="1" applyBorder="1" applyAlignment="1">
      <alignment horizontal="center" vertical="center" wrapText="1"/>
    </xf>
    <xf numFmtId="0" fontId="22" fillId="0" borderId="3" xfId="5" applyFont="1" applyBorder="1" applyAlignment="1">
      <alignment horizontal="center" vertical="center" wrapText="1"/>
    </xf>
    <xf numFmtId="0" fontId="22" fillId="0" borderId="12" xfId="5" applyFont="1" applyBorder="1" applyAlignment="1">
      <alignment horizontal="center" vertical="center" wrapText="1"/>
    </xf>
    <xf numFmtId="0" fontId="22" fillId="0" borderId="13" xfId="5" applyFont="1" applyBorder="1" applyAlignment="1">
      <alignment horizontal="center" vertical="center" wrapText="1"/>
    </xf>
    <xf numFmtId="0" fontId="22" fillId="0" borderId="14" xfId="5" applyFont="1" applyBorder="1" applyAlignment="1">
      <alignment horizontal="center" vertical="center" wrapText="1"/>
    </xf>
    <xf numFmtId="0" fontId="22" fillId="0" borderId="8" xfId="5" applyFont="1" applyBorder="1" applyAlignment="1">
      <alignment horizontal="center" vertical="center" wrapText="1"/>
    </xf>
    <xf numFmtId="0" fontId="22" fillId="0" borderId="7" xfId="5" applyFont="1" applyBorder="1" applyAlignment="1">
      <alignment horizontal="center" vertical="center" wrapText="1"/>
    </xf>
    <xf numFmtId="0" fontId="22" fillId="0" borderId="15" xfId="5" applyFont="1" applyBorder="1" applyAlignment="1">
      <alignment horizontal="center" vertical="center" wrapText="1"/>
    </xf>
    <xf numFmtId="0" fontId="18" fillId="0" borderId="0" xfId="3" applyFont="1" applyAlignment="1">
      <alignment horizontal="center"/>
    </xf>
    <xf numFmtId="0" fontId="12" fillId="0" borderId="0" xfId="3" applyFont="1" applyAlignment="1">
      <alignment horizontal="center"/>
    </xf>
    <xf numFmtId="0" fontId="33" fillId="0" borderId="0" xfId="3" applyFont="1" applyAlignment="1">
      <alignment horizontal="center"/>
    </xf>
    <xf numFmtId="0" fontId="38" fillId="0" borderId="0" xfId="3" applyFont="1" applyAlignment="1">
      <alignment horizontal="center"/>
    </xf>
    <xf numFmtId="0" fontId="9" fillId="0" borderId="0" xfId="5" applyFont="1" applyAlignment="1">
      <alignment horizontal="left"/>
    </xf>
    <xf numFmtId="0" fontId="24" fillId="0" borderId="7" xfId="5" applyFont="1" applyBorder="1" applyAlignment="1">
      <alignment horizontal="right"/>
    </xf>
    <xf numFmtId="0" fontId="22" fillId="0" borderId="2" xfId="5" applyFont="1" applyBorder="1" applyAlignment="1">
      <alignment horizontal="center" vertical="center" wrapText="1"/>
    </xf>
    <xf numFmtId="0" fontId="22" fillId="0" borderId="12" xfId="5" applyFont="1" applyBorder="1" applyAlignment="1">
      <alignment horizontal="center" vertical="top" wrapText="1"/>
    </xf>
    <xf numFmtId="0" fontId="22" fillId="0" borderId="13" xfId="5" applyFont="1" applyBorder="1" applyAlignment="1">
      <alignment horizontal="center" vertical="top" wrapText="1"/>
    </xf>
    <xf numFmtId="0" fontId="22" fillId="0" borderId="14" xfId="5" applyFont="1" applyBorder="1" applyAlignment="1">
      <alignment horizontal="center" vertical="top" wrapText="1"/>
    </xf>
    <xf numFmtId="0" fontId="22" fillId="0" borderId="8" xfId="5" applyFont="1" applyBorder="1" applyAlignment="1">
      <alignment horizontal="center" vertical="top" wrapText="1"/>
    </xf>
    <xf numFmtId="0" fontId="22" fillId="0" borderId="7" xfId="5" applyFont="1" applyBorder="1" applyAlignment="1">
      <alignment horizontal="center" vertical="top" wrapText="1"/>
    </xf>
    <xf numFmtId="0" fontId="22" fillId="0" borderId="15" xfId="5" applyFont="1" applyBorder="1" applyAlignment="1">
      <alignment horizontal="center" vertical="top" wrapText="1"/>
    </xf>
    <xf numFmtId="0" fontId="19" fillId="0" borderId="5" xfId="5" applyFont="1" applyBorder="1" applyAlignment="1">
      <alignment horizontal="center" vertical="top" wrapText="1"/>
    </xf>
    <xf numFmtId="0" fontId="19" fillId="0" borderId="6" xfId="5" applyFont="1" applyBorder="1" applyAlignment="1">
      <alignment horizontal="center" vertical="top" wrapText="1"/>
    </xf>
    <xf numFmtId="0" fontId="20" fillId="0" borderId="0" xfId="5" applyFont="1" applyAlignment="1">
      <alignment horizontal="left"/>
    </xf>
    <xf numFmtId="0" fontId="9" fillId="0" borderId="0" xfId="1" applyFont="1" applyAlignment="1">
      <alignment horizontal="center"/>
    </xf>
    <xf numFmtId="0" fontId="65" fillId="0" borderId="0" xfId="3" applyFont="1" applyAlignment="1">
      <alignment horizontal="left" vertical="center"/>
    </xf>
    <xf numFmtId="0" fontId="70" fillId="0" borderId="0" xfId="3" applyFont="1" applyAlignment="1">
      <alignment horizontal="left" vertical="center" wrapText="1"/>
    </xf>
    <xf numFmtId="0" fontId="65" fillId="0" borderId="0" xfId="3" applyFont="1" applyAlignment="1">
      <alignment horizontal="left" vertical="center" wrapText="1"/>
    </xf>
    <xf numFmtId="0" fontId="9" fillId="0" borderId="0" xfId="1" applyFont="1" applyAlignment="1">
      <alignment horizontal="center" vertical="top" wrapText="1"/>
    </xf>
    <xf numFmtId="0" fontId="24" fillId="0" borderId="7" xfId="3" applyFont="1" applyBorder="1" applyAlignment="1">
      <alignment horizontal="right"/>
    </xf>
    <xf numFmtId="0" fontId="9" fillId="0" borderId="2" xfId="3" applyFont="1" applyBorder="1" applyAlignment="1">
      <alignment horizontal="center" vertical="center" wrapText="1"/>
    </xf>
    <xf numFmtId="0" fontId="9" fillId="3" borderId="2" xfId="3" applyFont="1" applyFill="1" applyBorder="1" applyAlignment="1">
      <alignment horizontal="center" vertical="center" wrapText="1"/>
    </xf>
    <xf numFmtId="0" fontId="68" fillId="3" borderId="2" xfId="3" applyFont="1" applyFill="1" applyBorder="1" applyAlignment="1">
      <alignment horizontal="center" vertical="center" wrapText="1"/>
    </xf>
    <xf numFmtId="0" fontId="42" fillId="0" borderId="2" xfId="3" applyFont="1" applyBorder="1" applyAlignment="1">
      <alignment horizontal="left"/>
    </xf>
    <xf numFmtId="0" fontId="39" fillId="0" borderId="0" xfId="3" applyFont="1" applyAlignment="1">
      <alignment horizontal="center"/>
    </xf>
    <xf numFmtId="0" fontId="40" fillId="0" borderId="0" xfId="3" applyFont="1" applyAlignment="1">
      <alignment horizontal="center"/>
    </xf>
    <xf numFmtId="0" fontId="39" fillId="0" borderId="0" xfId="3" applyFont="1" applyAlignment="1">
      <alignment horizontal="center" wrapText="1"/>
    </xf>
    <xf numFmtId="0" fontId="21" fillId="0" borderId="0" xfId="3" applyFont="1" applyAlignment="1">
      <alignment horizontal="center"/>
    </xf>
    <xf numFmtId="0" fontId="39" fillId="0" borderId="0" xfId="0" applyFont="1" applyAlignment="1">
      <alignment horizontal="center"/>
    </xf>
    <xf numFmtId="0" fontId="40" fillId="0" borderId="0" xfId="0" applyFont="1" applyAlignment="1">
      <alignment horizontal="center"/>
    </xf>
    <xf numFmtId="0" fontId="39" fillId="0" borderId="0" xfId="0" applyFont="1" applyAlignment="1">
      <alignment horizontal="center" wrapText="1"/>
    </xf>
    <xf numFmtId="0" fontId="24" fillId="0" borderId="7" xfId="0" applyFont="1" applyBorder="1" applyAlignment="1">
      <alignment horizontal="right"/>
    </xf>
    <xf numFmtId="0" fontId="9" fillId="0" borderId="4" xfId="0" applyFont="1" applyBorder="1" applyAlignment="1">
      <alignment horizontal="center"/>
    </xf>
    <xf numFmtId="0" fontId="24" fillId="0" borderId="0" xfId="0" applyFont="1" applyBorder="1" applyAlignment="1">
      <alignment horizontal="right"/>
    </xf>
    <xf numFmtId="0" fontId="9" fillId="0" borderId="1" xfId="0" applyFont="1" applyBorder="1" applyAlignment="1">
      <alignment horizontal="center" vertical="top" wrapText="1"/>
    </xf>
    <xf numFmtId="0" fontId="9" fillId="0" borderId="3" xfId="0" applyFont="1" applyBorder="1" applyAlignment="1">
      <alignment horizontal="center" vertical="top" wrapText="1"/>
    </xf>
    <xf numFmtId="0" fontId="10" fillId="0" borderId="0" xfId="0" applyFont="1" applyAlignment="1">
      <alignment horizontal="center"/>
    </xf>
    <xf numFmtId="0" fontId="19" fillId="0" borderId="0" xfId="0" applyFont="1" applyAlignment="1">
      <alignment horizontal="center"/>
    </xf>
    <xf numFmtId="0" fontId="9" fillId="0" borderId="6" xfId="0" applyFont="1" applyBorder="1" applyAlignment="1">
      <alignment horizontal="center" vertical="center"/>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12" fillId="0" borderId="0" xfId="0" applyFont="1" applyAlignment="1">
      <alignment horizontal="center" wrapText="1"/>
    </xf>
    <xf numFmtId="0" fontId="14" fillId="0" borderId="0" xfId="0" applyFont="1" applyAlignment="1">
      <alignment horizontal="center"/>
    </xf>
    <xf numFmtId="0" fontId="53" fillId="0" borderId="0" xfId="0" applyFont="1" applyBorder="1" applyAlignment="1">
      <alignment horizontal="left"/>
    </xf>
    <xf numFmtId="0" fontId="14" fillId="0" borderId="0" xfId="0" applyFont="1"/>
    <xf numFmtId="0" fontId="9" fillId="0" borderId="0" xfId="0" applyFont="1" applyBorder="1" applyAlignment="1">
      <alignment horizontal="right"/>
    </xf>
    <xf numFmtId="0" fontId="21" fillId="0" borderId="0" xfId="0" applyFont="1" applyAlignment="1">
      <alignment horizontal="left"/>
    </xf>
    <xf numFmtId="0" fontId="11" fillId="0" borderId="0" xfId="0" applyFont="1" applyAlignment="1">
      <alignment horizontal="center"/>
    </xf>
    <xf numFmtId="0" fontId="13" fillId="0" borderId="0" xfId="1" applyFont="1" applyAlignment="1">
      <alignment horizontal="center"/>
    </xf>
    <xf numFmtId="0" fontId="18" fillId="0" borderId="0" xfId="1" applyFont="1" applyAlignment="1">
      <alignment horizontal="center"/>
    </xf>
    <xf numFmtId="0" fontId="9" fillId="0" borderId="2" xfId="1" applyFont="1" applyBorder="1" applyAlignment="1">
      <alignment horizontal="center" vertical="top" wrapText="1"/>
    </xf>
    <xf numFmtId="0" fontId="9" fillId="3" borderId="1" xfId="1" applyFont="1" applyFill="1" applyBorder="1" applyAlignment="1">
      <alignment horizontal="center" vertical="top" wrapText="1"/>
    </xf>
    <xf numFmtId="0" fontId="9" fillId="3" borderId="10" xfId="1" applyFont="1" applyFill="1" applyBorder="1" applyAlignment="1">
      <alignment horizontal="center" vertical="top" wrapText="1"/>
    </xf>
    <xf numFmtId="0" fontId="9" fillId="3" borderId="3" xfId="1" applyFont="1" applyFill="1" applyBorder="1" applyAlignment="1">
      <alignment horizontal="center" vertical="top" wrapText="1"/>
    </xf>
    <xf numFmtId="0" fontId="15" fillId="0" borderId="0" xfId="1" applyFont="1" applyBorder="1" applyAlignment="1">
      <alignment horizontal="left"/>
    </xf>
    <xf numFmtId="0" fontId="9" fillId="0" borderId="1"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86" fillId="0" borderId="12" xfId="0" applyFont="1" applyBorder="1" applyAlignment="1">
      <alignment horizontal="center" vertical="center"/>
    </xf>
    <xf numFmtId="0" fontId="86" fillId="0" borderId="13" xfId="0" applyFont="1" applyBorder="1" applyAlignment="1">
      <alignment horizontal="center" vertical="center"/>
    </xf>
    <xf numFmtId="0" fontId="86" fillId="0" borderId="14" xfId="0" applyFont="1" applyBorder="1" applyAlignment="1">
      <alignment horizontal="center" vertical="center"/>
    </xf>
    <xf numFmtId="0" fontId="86" fillId="0" borderId="11" xfId="0" applyFont="1" applyBorder="1" applyAlignment="1">
      <alignment horizontal="center" vertical="center"/>
    </xf>
    <xf numFmtId="0" fontId="86" fillId="0" borderId="0" xfId="0" applyFont="1" applyBorder="1" applyAlignment="1">
      <alignment horizontal="center" vertical="center"/>
    </xf>
    <xf numFmtId="0" fontId="86" fillId="0" borderId="17" xfId="0" applyFont="1" applyBorder="1" applyAlignment="1">
      <alignment horizontal="center" vertical="center"/>
    </xf>
    <xf numFmtId="0" fontId="86" fillId="0" borderId="8" xfId="0" applyFont="1" applyBorder="1" applyAlignment="1">
      <alignment horizontal="center" vertical="center"/>
    </xf>
    <xf numFmtId="0" fontId="86" fillId="0" borderId="7" xfId="0" applyFont="1" applyBorder="1" applyAlignment="1">
      <alignment horizontal="center" vertical="center"/>
    </xf>
    <xf numFmtId="0" fontId="86" fillId="0" borderId="15" xfId="0" applyFont="1" applyBorder="1" applyAlignment="1">
      <alignment horizontal="center" vertic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5"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6" xfId="0" applyFont="1" applyFill="1" applyBorder="1" applyAlignment="1">
      <alignment horizontal="center" vertical="top" wrapText="1"/>
    </xf>
    <xf numFmtId="0" fontId="14" fillId="0" borderId="0" xfId="0" applyFont="1" applyBorder="1" applyAlignment="1">
      <alignment horizontal="left" vertical="top" wrapText="1"/>
    </xf>
    <xf numFmtId="0" fontId="0" fillId="0" borderId="0" xfId="0" applyAlignment="1">
      <alignment horizontal="center"/>
    </xf>
    <xf numFmtId="0" fontId="9" fillId="0" borderId="1" xfId="0" applyFont="1" applyBorder="1" applyAlignment="1">
      <alignment horizontal="center" vertical="top"/>
    </xf>
    <xf numFmtId="0" fontId="9" fillId="0" borderId="3" xfId="0" applyFont="1" applyBorder="1" applyAlignment="1">
      <alignment horizontal="center" vertical="top"/>
    </xf>
    <xf numFmtId="0" fontId="10" fillId="0" borderId="0" xfId="0" applyFont="1" applyAlignment="1">
      <alignment horizontal="right"/>
    </xf>
    <xf numFmtId="0" fontId="9" fillId="0" borderId="5" xfId="0" applyFont="1" applyBorder="1" applyAlignment="1">
      <alignment horizontal="center" vertical="top"/>
    </xf>
    <xf numFmtId="0" fontId="9" fillId="0" borderId="9" xfId="0" applyFont="1" applyBorder="1" applyAlignment="1">
      <alignment horizontal="center" vertical="top"/>
    </xf>
    <xf numFmtId="0" fontId="9" fillId="0" borderId="6" xfId="0" applyFont="1" applyBorder="1" applyAlignment="1">
      <alignment horizontal="center" vertical="top"/>
    </xf>
    <xf numFmtId="0" fontId="9" fillId="0" borderId="0" xfId="0" applyFont="1" applyAlignment="1">
      <alignment horizontal="right"/>
    </xf>
    <xf numFmtId="0" fontId="13" fillId="0" borderId="0" xfId="0" applyFont="1" applyAlignment="1">
      <alignment horizontal="left"/>
    </xf>
    <xf numFmtId="0" fontId="18" fillId="0" borderId="0" xfId="0" applyFont="1" applyAlignment="1">
      <alignment horizontal="center" wrapText="1"/>
    </xf>
    <xf numFmtId="0" fontId="15" fillId="0" borderId="0" xfId="0" applyFont="1" applyAlignment="1">
      <alignment horizontal="center" wrapText="1"/>
    </xf>
    <xf numFmtId="2"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2"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3" fillId="0" borderId="5" xfId="0" applyFont="1" applyBorder="1" applyAlignment="1">
      <alignment horizontal="center" vertical="center"/>
    </xf>
    <xf numFmtId="0" fontId="13" fillId="0" borderId="9" xfId="0" applyFont="1" applyBorder="1" applyAlignment="1">
      <alignment horizontal="center" vertical="center"/>
    </xf>
    <xf numFmtId="0" fontId="13" fillId="0" borderId="6" xfId="0" applyFont="1" applyBorder="1" applyAlignment="1">
      <alignment horizontal="center" vertical="center"/>
    </xf>
    <xf numFmtId="0" fontId="47" fillId="0" borderId="0" xfId="0" applyFont="1" applyAlignment="1">
      <alignment horizontal="center"/>
    </xf>
    <xf numFmtId="0" fontId="63" fillId="0" borderId="0" xfId="0" applyFont="1" applyBorder="1" applyAlignment="1">
      <alignment horizontal="center" vertical="top"/>
    </xf>
    <xf numFmtId="0" fontId="59" fillId="0" borderId="1" xfId="0" applyFont="1" applyBorder="1" applyAlignment="1">
      <alignment horizontal="center" vertical="top" wrapText="1"/>
    </xf>
    <xf numFmtId="0" fontId="59" fillId="0" borderId="10" xfId="0" applyFont="1" applyBorder="1" applyAlignment="1">
      <alignment horizontal="center" vertical="top" wrapText="1"/>
    </xf>
    <xf numFmtId="0" fontId="59" fillId="0" borderId="3" xfId="0" applyFont="1" applyBorder="1" applyAlignment="1">
      <alignment horizontal="center" vertical="top" wrapText="1"/>
    </xf>
    <xf numFmtId="0" fontId="59" fillId="0" borderId="2" xfId="0" applyFont="1" applyBorder="1" applyAlignment="1">
      <alignment horizontal="center" vertical="top" wrapText="1"/>
    </xf>
    <xf numFmtId="0" fontId="9" fillId="0" borderId="0" xfId="1" applyFont="1" applyAlignment="1">
      <alignment horizontal="right" vertical="top" wrapText="1"/>
    </xf>
    <xf numFmtId="0" fontId="52" fillId="0" borderId="7" xfId="0" applyFont="1" applyBorder="1" applyAlignment="1">
      <alignment horizontal="right"/>
    </xf>
    <xf numFmtId="0" fontId="42" fillId="0" borderId="7" xfId="0" applyFont="1" applyBorder="1" applyAlignment="1">
      <alignment horizontal="right"/>
    </xf>
    <xf numFmtId="0" fontId="42" fillId="0" borderId="1" xfId="0" applyFont="1" applyBorder="1" applyAlignment="1">
      <alignment horizontal="center" vertical="top" wrapText="1"/>
    </xf>
    <xf numFmtId="0" fontId="42" fillId="0" borderId="3" xfId="0" applyFont="1" applyBorder="1" applyAlignment="1">
      <alignment horizontal="center" vertical="top" wrapText="1"/>
    </xf>
    <xf numFmtId="0" fontId="42" fillId="0" borderId="2" xfId="0" applyFont="1" applyBorder="1" applyAlignment="1">
      <alignment horizontal="center" vertical="top" wrapText="1"/>
    </xf>
    <xf numFmtId="0" fontId="42" fillId="0" borderId="5" xfId="0" applyFont="1" applyBorder="1" applyAlignment="1">
      <alignment horizontal="center" vertical="top" wrapText="1"/>
    </xf>
    <xf numFmtId="0" fontId="42" fillId="0" borderId="9" xfId="0" applyFont="1" applyBorder="1" applyAlignment="1">
      <alignment horizontal="center" vertical="top" wrapText="1"/>
    </xf>
    <xf numFmtId="0" fontId="42" fillId="0" borderId="6" xfId="0" applyFont="1" applyBorder="1" applyAlignment="1">
      <alignment horizontal="center" vertical="top" wrapText="1"/>
    </xf>
    <xf numFmtId="0" fontId="9" fillId="3" borderId="1" xfId="1" quotePrefix="1" applyFont="1" applyFill="1" applyBorder="1" applyAlignment="1">
      <alignment horizontal="center" vertical="center" wrapText="1"/>
    </xf>
    <xf numFmtId="0" fontId="9" fillId="3" borderId="3" xfId="1" quotePrefix="1" applyFont="1" applyFill="1" applyBorder="1" applyAlignment="1">
      <alignment horizontal="center" vertical="center" wrapText="1"/>
    </xf>
    <xf numFmtId="0" fontId="9" fillId="0" borderId="5" xfId="1" applyFont="1" applyBorder="1" applyAlignment="1">
      <alignment horizontal="left" vertical="center"/>
    </xf>
    <xf numFmtId="0" fontId="9" fillId="0" borderId="9" xfId="1" applyFont="1" applyBorder="1" applyAlignment="1">
      <alignment horizontal="left" vertical="center"/>
    </xf>
    <xf numFmtId="0" fontId="9" fillId="0" borderId="6" xfId="1" applyFont="1" applyBorder="1" applyAlignment="1">
      <alignment horizontal="left" vertical="center"/>
    </xf>
    <xf numFmtId="0" fontId="13" fillId="0" borderId="5" xfId="1" applyFont="1" applyBorder="1" applyAlignment="1">
      <alignment horizontal="left" vertical="center"/>
    </xf>
    <xf numFmtId="0" fontId="13" fillId="0" borderId="9" xfId="1" applyFont="1" applyBorder="1" applyAlignment="1">
      <alignment horizontal="left" vertical="center"/>
    </xf>
    <xf numFmtId="0" fontId="13" fillId="0" borderId="6" xfId="1" applyFont="1" applyBorder="1" applyAlignment="1">
      <alignment horizontal="left" vertical="center"/>
    </xf>
    <xf numFmtId="0" fontId="12" fillId="0" borderId="0" xfId="1" applyFont="1" applyAlignment="1">
      <alignment horizontal="center"/>
    </xf>
    <xf numFmtId="0" fontId="12" fillId="0" borderId="0" xfId="1" applyFont="1" applyAlignment="1"/>
    <xf numFmtId="0" fontId="9" fillId="0" borderId="0" xfId="1" applyFont="1" applyAlignment="1">
      <alignment horizontal="left"/>
    </xf>
    <xf numFmtId="0" fontId="9" fillId="3" borderId="5" xfId="1" quotePrefix="1" applyFont="1" applyFill="1" applyBorder="1" applyAlignment="1">
      <alignment horizontal="center" vertical="center" wrapText="1"/>
    </xf>
    <xf numFmtId="0" fontId="9" fillId="3" borderId="9" xfId="1" quotePrefix="1" applyFont="1" applyFill="1" applyBorder="1" applyAlignment="1">
      <alignment horizontal="center" vertical="center" wrapText="1"/>
    </xf>
    <xf numFmtId="0" fontId="9" fillId="3" borderId="6" xfId="1" quotePrefix="1" applyFont="1" applyFill="1" applyBorder="1" applyAlignment="1">
      <alignment horizontal="center" vertical="center" wrapText="1"/>
    </xf>
    <xf numFmtId="0" fontId="9" fillId="0" borderId="0" xfId="2" applyFont="1" applyAlignment="1">
      <alignment horizontal="center"/>
    </xf>
    <xf numFmtId="0" fontId="9" fillId="0" borderId="0" xfId="2" applyFont="1" applyAlignment="1">
      <alignment horizontal="center" vertical="top" wrapText="1"/>
    </xf>
    <xf numFmtId="0" fontId="9" fillId="0" borderId="0" xfId="1" applyFont="1" applyAlignment="1">
      <alignment horizontal="left" vertical="top" wrapText="1"/>
    </xf>
    <xf numFmtId="0" fontId="85" fillId="0" borderId="1" xfId="0" applyFont="1" applyBorder="1" applyAlignment="1">
      <alignment horizontal="center" vertical="center" wrapText="1"/>
    </xf>
    <xf numFmtId="0" fontId="85" fillId="0" borderId="10" xfId="0" quotePrefix="1" applyFont="1" applyBorder="1" applyAlignment="1">
      <alignment horizontal="center" vertical="center" wrapText="1"/>
    </xf>
    <xf numFmtId="0" fontId="85" fillId="0" borderId="3" xfId="0" quotePrefix="1" applyFont="1" applyBorder="1" applyAlignment="1">
      <alignment horizontal="center" vertical="center" wrapText="1"/>
    </xf>
    <xf numFmtId="0" fontId="84" fillId="0" borderId="1"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3" xfId="0" applyFont="1" applyBorder="1" applyAlignment="1">
      <alignment horizontal="center" vertical="center" wrapText="1"/>
    </xf>
    <xf numFmtId="0" fontId="79" fillId="0" borderId="13" xfId="0" applyFont="1" applyBorder="1" applyAlignment="1">
      <alignment horizontal="left" vertical="center" wrapText="1"/>
    </xf>
    <xf numFmtId="0" fontId="23" fillId="0" borderId="0" xfId="0" applyFont="1" applyAlignment="1">
      <alignment horizontal="center" wrapText="1"/>
    </xf>
    <xf numFmtId="0" fontId="23" fillId="0" borderId="0" xfId="0" applyFont="1" applyAlignment="1">
      <alignment vertical="top" wrapText="1"/>
    </xf>
    <xf numFmtId="0" fontId="13" fillId="0" borderId="0" xfId="0" applyFont="1" applyAlignment="1">
      <alignment horizontal="right" vertical="top" wrapText="1"/>
    </xf>
    <xf numFmtId="0" fontId="12" fillId="0" borderId="0" xfId="0" applyFont="1" applyAlignment="1">
      <alignment horizontal="center" vertical="top" wrapText="1"/>
    </xf>
    <xf numFmtId="0" fontId="55" fillId="3" borderId="5" xfId="0" applyFont="1" applyFill="1" applyBorder="1" applyAlignment="1">
      <alignment horizontal="center" vertical="top" wrapText="1"/>
    </xf>
    <xf numFmtId="0" fontId="55" fillId="3" borderId="9" xfId="0" applyFont="1" applyFill="1" applyBorder="1" applyAlignment="1">
      <alignment horizontal="center" vertical="top" wrapText="1"/>
    </xf>
    <xf numFmtId="0" fontId="55" fillId="3" borderId="6" xfId="0" applyFont="1" applyFill="1" applyBorder="1" applyAlignment="1">
      <alignment horizontal="center" vertical="top" wrapText="1"/>
    </xf>
    <xf numFmtId="0" fontId="43" fillId="0" borderId="0" xfId="0" applyFont="1" applyBorder="1" applyAlignment="1">
      <alignment horizontal="center"/>
    </xf>
    <xf numFmtId="0" fontId="55" fillId="0" borderId="2" xfId="0" applyFont="1" applyBorder="1" applyAlignment="1">
      <alignment horizontal="center" vertical="top" wrapText="1"/>
    </xf>
    <xf numFmtId="0" fontId="24" fillId="3" borderId="7" xfId="0" applyFont="1" applyFill="1" applyBorder="1" applyAlignment="1">
      <alignment horizontal="right"/>
    </xf>
    <xf numFmtId="0" fontId="17" fillId="0" borderId="7" xfId="0" applyFont="1" applyBorder="1" applyAlignment="1">
      <alignment horizontal="right"/>
    </xf>
    <xf numFmtId="0" fontId="9" fillId="3" borderId="2" xfId="0" applyFont="1" applyFill="1" applyBorder="1" applyAlignment="1">
      <alignment horizontal="center" vertical="top" wrapText="1"/>
    </xf>
    <xf numFmtId="0" fontId="90" fillId="0" borderId="1" xfId="0" quotePrefix="1" applyFont="1" applyBorder="1" applyAlignment="1">
      <alignment horizontal="left" vertical="center" wrapText="1"/>
    </xf>
    <xf numFmtId="0" fontId="90" fillId="0" borderId="3" xfId="0" quotePrefix="1" applyFont="1" applyBorder="1" applyAlignment="1">
      <alignment horizontal="left" vertical="center" wrapText="1"/>
    </xf>
    <xf numFmtId="0" fontId="90" fillId="0" borderId="1" xfId="0" quotePrefix="1" applyFont="1" applyBorder="1" applyAlignment="1">
      <alignment horizontal="right" vertical="center"/>
    </xf>
    <xf numFmtId="0" fontId="90" fillId="0" borderId="3" xfId="0" quotePrefix="1" applyFont="1" applyBorder="1" applyAlignment="1">
      <alignment horizontal="right" vertical="center"/>
    </xf>
    <xf numFmtId="0" fontId="93" fillId="0" borderId="12" xfId="0" applyFont="1" applyBorder="1" applyAlignment="1">
      <alignment horizontal="center" vertical="center" wrapText="1"/>
    </xf>
    <xf numFmtId="0" fontId="93" fillId="0" borderId="13"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11" xfId="0" applyFont="1" applyBorder="1" applyAlignment="1">
      <alignment horizontal="center" vertical="center" wrapText="1"/>
    </xf>
    <xf numFmtId="0" fontId="93" fillId="0" borderId="0" xfId="0" applyFont="1" applyBorder="1" applyAlignment="1">
      <alignment horizontal="center" vertical="center" wrapText="1"/>
    </xf>
    <xf numFmtId="0" fontId="93" fillId="0" borderId="17" xfId="0" applyFont="1" applyBorder="1" applyAlignment="1">
      <alignment horizontal="center" vertical="center" wrapText="1"/>
    </xf>
    <xf numFmtId="0" fontId="93" fillId="0" borderId="8" xfId="0" applyFont="1" applyBorder="1" applyAlignment="1">
      <alignment horizontal="center" vertical="center" wrapText="1"/>
    </xf>
    <xf numFmtId="0" fontId="93" fillId="0" borderId="7" xfId="0" applyFont="1" applyBorder="1" applyAlignment="1">
      <alignment horizontal="center" vertical="center" wrapText="1"/>
    </xf>
    <xf numFmtId="0" fontId="93" fillId="0" borderId="15" xfId="0" applyFont="1" applyBorder="1" applyAlignment="1">
      <alignment horizontal="center" vertical="center" wrapText="1"/>
    </xf>
    <xf numFmtId="0" fontId="9" fillId="0" borderId="2" xfId="3" applyFont="1" applyBorder="1" applyAlignment="1">
      <alignment horizontal="center" vertical="top" wrapText="1"/>
    </xf>
    <xf numFmtId="0" fontId="0" fillId="0" borderId="2" xfId="0" applyBorder="1" applyAlignment="1">
      <alignment horizontal="center" vertical="top" wrapText="1"/>
    </xf>
    <xf numFmtId="0" fontId="13" fillId="0" borderId="0" xfId="3" applyFont="1" applyAlignment="1">
      <alignment horizontal="center"/>
    </xf>
    <xf numFmtId="0" fontId="9" fillId="0" borderId="2" xfId="0" applyFont="1" applyBorder="1" applyAlignment="1">
      <alignment horizontal="center" vertical="center" wrapText="1"/>
    </xf>
    <xf numFmtId="0" fontId="15" fillId="0" borderId="0" xfId="3" applyFont="1" applyAlignment="1">
      <alignment horizontal="center"/>
    </xf>
    <xf numFmtId="0" fontId="9" fillId="0" borderId="5" xfId="3" applyFont="1" applyBorder="1" applyAlignment="1">
      <alignment horizontal="center" vertical="top"/>
    </xf>
    <xf numFmtId="0" fontId="9" fillId="0" borderId="9" xfId="3" applyFont="1" applyBorder="1" applyAlignment="1">
      <alignment horizontal="center" vertical="top"/>
    </xf>
    <xf numFmtId="0" fontId="9" fillId="0" borderId="2" xfId="3" applyFont="1" applyBorder="1" applyAlignment="1">
      <alignment horizontal="center" vertical="top"/>
    </xf>
    <xf numFmtId="0" fontId="14" fillId="0" borderId="0" xfId="3" applyAlignment="1">
      <alignment horizontal="center"/>
    </xf>
    <xf numFmtId="0" fontId="0" fillId="0" borderId="0" xfId="0" applyAlignment="1">
      <alignment horizontal="left"/>
    </xf>
    <xf numFmtId="0" fontId="14" fillId="0" borderId="0" xfId="3" applyAlignment="1">
      <alignment horizontal="left"/>
    </xf>
    <xf numFmtId="0" fontId="9" fillId="0" borderId="1" xfId="3" applyFont="1" applyBorder="1" applyAlignment="1">
      <alignment horizontal="center" vertical="top" wrapText="1"/>
    </xf>
    <xf numFmtId="0" fontId="9" fillId="0" borderId="3" xfId="3" applyFont="1" applyBorder="1" applyAlignment="1">
      <alignment horizontal="center" vertical="top" wrapText="1"/>
    </xf>
    <xf numFmtId="0" fontId="13" fillId="0" borderId="5" xfId="3" applyFont="1" applyBorder="1" applyAlignment="1">
      <alignment horizontal="center" vertical="top"/>
    </xf>
    <xf numFmtId="0" fontId="13" fillId="0" borderId="9" xfId="3" applyFont="1" applyBorder="1" applyAlignment="1">
      <alignment horizontal="center" vertical="top"/>
    </xf>
    <xf numFmtId="0" fontId="13" fillId="0" borderId="16" xfId="3" applyFont="1" applyBorder="1" applyAlignment="1">
      <alignment horizontal="center" vertical="top"/>
    </xf>
    <xf numFmtId="0" fontId="11" fillId="0" borderId="0" xfId="3" applyFont="1" applyAlignment="1">
      <alignment horizontal="center"/>
    </xf>
    <xf numFmtId="0" fontId="89" fillId="0" borderId="2" xfId="3" applyFont="1" applyBorder="1" applyAlignment="1">
      <alignment horizontal="center"/>
    </xf>
    <xf numFmtId="0" fontId="89" fillId="0" borderId="1" xfId="3" applyFont="1" applyBorder="1" applyAlignment="1">
      <alignment horizontal="center" vertical="center"/>
    </xf>
    <xf numFmtId="0" fontId="89" fillId="0" borderId="3" xfId="3" applyFont="1" applyBorder="1" applyAlignment="1">
      <alignment horizontal="center" vertical="center"/>
    </xf>
    <xf numFmtId="0" fontId="89" fillId="0" borderId="1" xfId="0" applyFont="1" applyBorder="1" applyAlignment="1">
      <alignment horizontal="center" vertical="center" wrapText="1"/>
    </xf>
    <xf numFmtId="0" fontId="89" fillId="0" borderId="10" xfId="0" applyFont="1" applyBorder="1" applyAlignment="1">
      <alignment horizontal="center" vertical="center" wrapText="1"/>
    </xf>
    <xf numFmtId="0" fontId="89" fillId="0" borderId="3" xfId="0" applyFont="1" applyBorder="1" applyAlignment="1">
      <alignment horizontal="center" vertical="center" wrapText="1"/>
    </xf>
    <xf numFmtId="0" fontId="89" fillId="0" borderId="1" xfId="3" applyFont="1" applyBorder="1" applyAlignment="1">
      <alignment horizontal="center" vertical="center" wrapText="1"/>
    </xf>
    <xf numFmtId="0" fontId="89" fillId="0" borderId="10" xfId="3" applyFont="1" applyBorder="1" applyAlignment="1">
      <alignment horizontal="center" vertical="center" wrapText="1"/>
    </xf>
    <xf numFmtId="0" fontId="89" fillId="0" borderId="3" xfId="3" applyFont="1" applyBorder="1" applyAlignment="1">
      <alignment horizontal="center" vertical="center" wrapText="1"/>
    </xf>
    <xf numFmtId="0" fontId="13" fillId="0" borderId="0" xfId="0" applyFont="1" applyAlignment="1">
      <alignment horizontal="center" vertical="top" wrapText="1"/>
    </xf>
    <xf numFmtId="0" fontId="13" fillId="0" borderId="0" xfId="1" applyFont="1" applyAlignment="1">
      <alignment horizontal="center" vertical="top" wrapText="1"/>
    </xf>
    <xf numFmtId="0" fontId="89" fillId="0" borderId="1" xfId="0" applyFont="1" applyBorder="1" applyAlignment="1">
      <alignment horizontal="left" vertical="center" wrapText="1"/>
    </xf>
    <xf numFmtId="0" fontId="89" fillId="0" borderId="3" xfId="0" applyFont="1" applyBorder="1" applyAlignment="1">
      <alignment horizontal="left" vertical="center" wrapText="1"/>
    </xf>
    <xf numFmtId="0" fontId="89" fillId="0" borderId="2" xfId="3" applyFont="1" applyBorder="1" applyAlignment="1">
      <alignment horizontal="center" vertical="center"/>
    </xf>
    <xf numFmtId="0" fontId="89" fillId="0" borderId="2" xfId="0" applyFont="1" applyBorder="1" applyAlignment="1">
      <alignment horizontal="center" vertical="center" wrapText="1"/>
    </xf>
    <xf numFmtId="0" fontId="89" fillId="0" borderId="1" xfId="3" applyFont="1" applyBorder="1" applyAlignment="1">
      <alignment horizontal="left" vertical="center"/>
    </xf>
    <xf numFmtId="0" fontId="89" fillId="0" borderId="10" xfId="3" applyFont="1" applyBorder="1" applyAlignment="1">
      <alignment horizontal="left" vertical="center"/>
    </xf>
    <xf numFmtId="0" fontId="89" fillId="0" borderId="3" xfId="3" applyFont="1" applyBorder="1" applyAlignment="1">
      <alignment horizontal="left" vertical="center"/>
    </xf>
    <xf numFmtId="0" fontId="89" fillId="0" borderId="10" xfId="3" applyFont="1" applyBorder="1" applyAlignment="1">
      <alignment horizontal="center" vertical="center"/>
    </xf>
    <xf numFmtId="0" fontId="9" fillId="0" borderId="5" xfId="3" applyFont="1" applyBorder="1" applyAlignment="1">
      <alignment horizontal="center" vertical="top" wrapText="1"/>
    </xf>
    <xf numFmtId="0" fontId="9" fillId="0" borderId="9" xfId="3" applyFont="1" applyBorder="1" applyAlignment="1">
      <alignment horizontal="center" vertical="top" wrapText="1"/>
    </xf>
    <xf numFmtId="0" fontId="9" fillId="0" borderId="6" xfId="3" applyFont="1" applyBorder="1" applyAlignment="1">
      <alignment horizontal="center" vertical="top" wrapText="1"/>
    </xf>
    <xf numFmtId="0" fontId="39" fillId="0" borderId="0" xfId="0" applyFont="1" applyAlignment="1">
      <alignment horizontal="right"/>
    </xf>
    <xf numFmtId="0" fontId="42" fillId="0" borderId="0" xfId="0" applyFont="1" applyAlignment="1">
      <alignment horizontal="center" vertical="center" wrapText="1"/>
    </xf>
    <xf numFmtId="0" fontId="24" fillId="0" borderId="7" xfId="0" applyFont="1" applyBorder="1" applyAlignment="1">
      <alignment horizontal="left"/>
    </xf>
    <xf numFmtId="0" fontId="14" fillId="0" borderId="5" xfId="24" applyBorder="1" applyAlignment="1">
      <alignment horizontal="center" vertical="center"/>
    </xf>
    <xf numFmtId="0" fontId="14" fillId="0" borderId="9" xfId="24" applyBorder="1" applyAlignment="1">
      <alignment horizontal="center" vertical="center"/>
    </xf>
    <xf numFmtId="0" fontId="14" fillId="0" borderId="6" xfId="24" applyBorder="1" applyAlignment="1">
      <alignment horizontal="center" vertical="center"/>
    </xf>
    <xf numFmtId="0" fontId="77" fillId="0" borderId="1" xfId="3" applyFont="1" applyBorder="1" applyAlignment="1">
      <alignment horizontal="left" vertical="center"/>
    </xf>
    <xf numFmtId="0" fontId="77" fillId="0" borderId="3" xfId="3" applyFont="1" applyBorder="1" applyAlignment="1">
      <alignment horizontal="left" vertical="center"/>
    </xf>
    <xf numFmtId="0" fontId="14" fillId="0" borderId="1" xfId="3" applyBorder="1" applyAlignment="1">
      <alignment horizontal="center"/>
    </xf>
    <xf numFmtId="0" fontId="14" fillId="0" borderId="3" xfId="3" applyBorder="1" applyAlignment="1">
      <alignment horizontal="center"/>
    </xf>
    <xf numFmtId="0" fontId="14" fillId="0" borderId="1" xfId="3" applyBorder="1" applyAlignment="1">
      <alignment horizontal="center" vertical="center"/>
    </xf>
    <xf numFmtId="0" fontId="14" fillId="0" borderId="3" xfId="3" applyBorder="1" applyAlignment="1">
      <alignment horizontal="center" vertical="center"/>
    </xf>
    <xf numFmtId="0" fontId="22" fillId="0" borderId="0" xfId="1" applyFont="1" applyAlignment="1">
      <alignment horizontal="center"/>
    </xf>
    <xf numFmtId="0" fontId="42" fillId="0" borderId="10" xfId="0" applyFont="1" applyBorder="1" applyAlignment="1">
      <alignment horizontal="center" vertical="top" wrapText="1"/>
    </xf>
    <xf numFmtId="0" fontId="9" fillId="3" borderId="2" xfId="1" quotePrefix="1" applyFont="1" applyFill="1" applyBorder="1" applyAlignment="1">
      <alignment horizontal="center" vertical="center" wrapText="1"/>
    </xf>
    <xf numFmtId="0" fontId="9" fillId="0" borderId="2" xfId="1" applyFont="1" applyBorder="1" applyAlignment="1">
      <alignment horizontal="left"/>
    </xf>
    <xf numFmtId="0" fontId="24" fillId="0" borderId="0" xfId="1" applyFont="1" applyAlignment="1">
      <alignment horizontal="right"/>
    </xf>
    <xf numFmtId="0" fontId="78" fillId="0" borderId="1" xfId="0" applyFont="1" applyBorder="1" applyAlignment="1">
      <alignment horizontal="center" vertical="top" wrapText="1"/>
    </xf>
    <xf numFmtId="0" fontId="78" fillId="0" borderId="10" xfId="0" applyFont="1" applyBorder="1" applyAlignment="1">
      <alignment horizontal="center" vertical="top" wrapText="1"/>
    </xf>
    <xf numFmtId="0" fontId="78" fillId="3" borderId="1" xfId="1" quotePrefix="1" applyFont="1" applyFill="1" applyBorder="1" applyAlignment="1">
      <alignment horizontal="center" vertical="center" wrapText="1"/>
    </xf>
    <xf numFmtId="0" fontId="78" fillId="3" borderId="3" xfId="1" quotePrefix="1" applyFont="1" applyFill="1" applyBorder="1" applyAlignment="1">
      <alignment horizontal="center" vertical="center" wrapText="1"/>
    </xf>
    <xf numFmtId="0" fontId="78" fillId="3" borderId="2" xfId="1" applyFont="1" applyFill="1" applyBorder="1" applyAlignment="1">
      <alignment horizontal="center" vertical="center" wrapText="1"/>
    </xf>
    <xf numFmtId="0" fontId="81" fillId="0" borderId="12" xfId="0" applyFont="1" applyBorder="1" applyAlignment="1">
      <alignment horizontal="center" vertical="center"/>
    </xf>
    <xf numFmtId="0" fontId="81" fillId="0" borderId="13" xfId="0" applyFont="1" applyBorder="1" applyAlignment="1">
      <alignment horizontal="center" vertical="center"/>
    </xf>
    <xf numFmtId="0" fontId="81" fillId="0" borderId="14" xfId="0" applyFont="1" applyBorder="1" applyAlignment="1">
      <alignment horizontal="center" vertical="center"/>
    </xf>
    <xf numFmtId="0" fontId="81" fillId="0" borderId="11" xfId="0" applyFont="1" applyBorder="1" applyAlignment="1">
      <alignment horizontal="center" vertical="center"/>
    </xf>
    <xf numFmtId="0" fontId="81" fillId="0" borderId="0" xfId="0" applyFont="1" applyBorder="1" applyAlignment="1">
      <alignment horizontal="center" vertical="center"/>
    </xf>
    <xf numFmtId="0" fontId="81" fillId="0" borderId="17" xfId="0" applyFont="1" applyBorder="1" applyAlignment="1">
      <alignment horizontal="center" vertical="center"/>
    </xf>
    <xf numFmtId="0" fontId="81" fillId="0" borderId="8" xfId="0" applyFont="1" applyBorder="1" applyAlignment="1">
      <alignment horizontal="center" vertical="center"/>
    </xf>
    <xf numFmtId="0" fontId="81" fillId="0" borderId="7" xfId="0" applyFont="1" applyBorder="1" applyAlignment="1">
      <alignment horizontal="center" vertical="center"/>
    </xf>
    <xf numFmtId="0" fontId="81" fillId="0" borderId="15" xfId="0" applyFont="1" applyBorder="1" applyAlignment="1">
      <alignment horizontal="center" vertical="center"/>
    </xf>
    <xf numFmtId="0" fontId="66" fillId="0" borderId="0" xfId="0" applyFont="1" applyBorder="1" applyAlignment="1">
      <alignment horizontal="left" vertical="center" wrapText="1"/>
    </xf>
    <xf numFmtId="0" fontId="58" fillId="0" borderId="0" xfId="0" applyFont="1" applyBorder="1" applyAlignment="1">
      <alignment horizontal="center" vertical="top"/>
    </xf>
    <xf numFmtId="0" fontId="9" fillId="0" borderId="7" xfId="0" applyFont="1" applyBorder="1" applyAlignment="1">
      <alignment horizontal="left"/>
    </xf>
    <xf numFmtId="0" fontId="59" fillId="0" borderId="12" xfId="0" applyFont="1" applyBorder="1" applyAlignment="1">
      <alignment horizontal="center" vertical="top" wrapText="1"/>
    </xf>
    <xf numFmtId="0" fontId="59" fillId="0" borderId="13" xfId="0" applyFont="1" applyBorder="1" applyAlignment="1">
      <alignment horizontal="center" vertical="top" wrapText="1"/>
    </xf>
    <xf numFmtId="0" fontId="59" fillId="0" borderId="14" xfId="0" applyFont="1" applyBorder="1" applyAlignment="1">
      <alignment horizontal="center" vertical="top" wrapText="1"/>
    </xf>
    <xf numFmtId="0" fontId="59" fillId="0" borderId="11" xfId="0" applyFont="1" applyBorder="1" applyAlignment="1">
      <alignment horizontal="center" vertical="top" wrapText="1"/>
    </xf>
    <xf numFmtId="0" fontId="59" fillId="0" borderId="0" xfId="0" applyFont="1" applyBorder="1" applyAlignment="1">
      <alignment horizontal="center" vertical="top" wrapText="1"/>
    </xf>
    <xf numFmtId="0" fontId="59" fillId="0" borderId="17" xfId="0" applyFont="1" applyBorder="1" applyAlignment="1">
      <alignment horizontal="center" vertical="top" wrapText="1"/>
    </xf>
    <xf numFmtId="0" fontId="66" fillId="0" borderId="1" xfId="0" applyFont="1" applyBorder="1" applyAlignment="1">
      <alignment horizontal="left" vertical="center" wrapText="1"/>
    </xf>
    <xf numFmtId="0" fontId="66" fillId="0" borderId="10" xfId="0" applyFont="1" applyBorder="1" applyAlignment="1">
      <alignment horizontal="left" vertical="center" wrapText="1"/>
    </xf>
    <xf numFmtId="0" fontId="66" fillId="0" borderId="3" xfId="0" applyFont="1" applyBorder="1" applyAlignment="1">
      <alignment horizontal="left" vertical="center" wrapText="1"/>
    </xf>
    <xf numFmtId="0" fontId="63" fillId="0" borderId="0" xfId="0" applyFont="1" applyAlignment="1">
      <alignment horizontal="center" vertical="center"/>
    </xf>
    <xf numFmtId="0" fontId="63" fillId="0" borderId="0" xfId="0" applyFont="1" applyBorder="1" applyAlignment="1">
      <alignment horizontal="center" vertical="center"/>
    </xf>
    <xf numFmtId="0" fontId="24" fillId="0" borderId="7" xfId="0" applyFont="1" applyBorder="1" applyAlignment="1">
      <alignment horizontal="center"/>
    </xf>
    <xf numFmtId="0" fontId="49" fillId="0" borderId="0" xfId="0" applyFont="1" applyAlignment="1">
      <alignment horizontal="center" vertical="center" wrapText="1"/>
    </xf>
    <xf numFmtId="0" fontId="18" fillId="0" borderId="0" xfId="0" applyFont="1" applyAlignment="1">
      <alignment horizontal="center" vertical="top" wrapText="1"/>
    </xf>
    <xf numFmtId="0" fontId="19" fillId="0" borderId="0" xfId="0" applyFont="1" applyAlignment="1">
      <alignment horizontal="center" vertical="top" wrapText="1"/>
    </xf>
    <xf numFmtId="0" fontId="22" fillId="0" borderId="2" xfId="0" applyFont="1" applyBorder="1" applyAlignment="1">
      <alignment horizontal="center" vertical="top"/>
    </xf>
    <xf numFmtId="0" fontId="22" fillId="0" borderId="2" xfId="0" applyFont="1" applyBorder="1" applyAlignment="1">
      <alignment horizontal="center" vertical="top" wrapText="1"/>
    </xf>
    <xf numFmtId="0" fontId="22" fillId="0" borderId="10" xfId="0" applyFont="1" applyBorder="1" applyAlignment="1">
      <alignment horizontal="center" vertical="top" wrapText="1"/>
    </xf>
    <xf numFmtId="0" fontId="13" fillId="0" borderId="2" xfId="0" applyFont="1" applyBorder="1" applyAlignment="1">
      <alignment horizontal="center" vertical="top" wrapText="1"/>
    </xf>
    <xf numFmtId="0" fontId="9"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right"/>
    </xf>
    <xf numFmtId="0" fontId="22" fillId="3" borderId="0" xfId="0" applyFont="1" applyFill="1" applyAlignment="1">
      <alignment horizontal="center" vertical="top" wrapText="1"/>
    </xf>
    <xf numFmtId="0" fontId="23" fillId="3" borderId="0" xfId="0" applyFont="1" applyFill="1" applyAlignment="1">
      <alignment horizontal="center" wrapText="1"/>
    </xf>
    <xf numFmtId="0" fontId="13" fillId="3" borderId="0" xfId="0" applyFont="1" applyFill="1" applyAlignment="1">
      <alignment horizontal="center"/>
    </xf>
    <xf numFmtId="0" fontId="11" fillId="3" borderId="0" xfId="0" applyFont="1" applyFill="1" applyAlignment="1">
      <alignment horizontal="center"/>
    </xf>
    <xf numFmtId="0" fontId="9" fillId="3" borderId="0" xfId="0" applyFont="1" applyFill="1" applyBorder="1" applyAlignment="1">
      <alignment horizontal="right"/>
    </xf>
    <xf numFmtId="0" fontId="9" fillId="3" borderId="5" xfId="0" applyFont="1" applyFill="1" applyBorder="1" applyAlignment="1">
      <alignment horizontal="center" vertical="top" wrapText="1"/>
    </xf>
    <xf numFmtId="0" fontId="9" fillId="3" borderId="9"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0" xfId="0" applyFont="1" applyFill="1" applyAlignment="1">
      <alignment horizontal="left"/>
    </xf>
    <xf numFmtId="0" fontId="9" fillId="3" borderId="12" xfId="0" applyFont="1" applyFill="1" applyBorder="1" applyAlignment="1">
      <alignment horizontal="center" vertical="top" wrapText="1"/>
    </xf>
    <xf numFmtId="0" fontId="9" fillId="3" borderId="8" xfId="0" applyFont="1" applyFill="1" applyBorder="1" applyAlignment="1">
      <alignment horizontal="center" vertical="top" wrapText="1"/>
    </xf>
    <xf numFmtId="0" fontId="9" fillId="3" borderId="2" xfId="0" applyFont="1" applyFill="1" applyBorder="1" applyAlignment="1">
      <alignment horizontal="center" wrapText="1"/>
    </xf>
    <xf numFmtId="0" fontId="9" fillId="3" borderId="0" xfId="0" applyFont="1" applyFill="1" applyAlignment="1">
      <alignment horizontal="center" vertical="top" wrapText="1"/>
    </xf>
    <xf numFmtId="0" fontId="14" fillId="4" borderId="0" xfId="0" applyFont="1" applyFill="1" applyAlignment="1">
      <alignment horizontal="center"/>
    </xf>
    <xf numFmtId="0" fontId="92" fillId="0" borderId="1" xfId="0" applyFont="1" applyBorder="1" applyAlignment="1">
      <alignment horizontal="center" vertical="center" wrapText="1"/>
    </xf>
    <xf numFmtId="0" fontId="92" fillId="0" borderId="3" xfId="0" applyFont="1" applyBorder="1" applyAlignment="1">
      <alignment horizontal="center" vertical="center" wrapText="1"/>
    </xf>
    <xf numFmtId="0" fontId="92" fillId="0" borderId="5" xfId="0" applyFont="1" applyBorder="1" applyAlignment="1">
      <alignment horizontal="center" vertical="center" wrapText="1"/>
    </xf>
    <xf numFmtId="0" fontId="92" fillId="0" borderId="9" xfId="0" applyFont="1" applyBorder="1" applyAlignment="1">
      <alignment horizontal="center" vertical="center" wrapText="1"/>
    </xf>
    <xf numFmtId="0" fontId="92" fillId="0" borderId="6" xfId="0" applyFont="1" applyBorder="1" applyAlignment="1">
      <alignment horizontal="center" vertical="center" wrapText="1"/>
    </xf>
    <xf numFmtId="0" fontId="94" fillId="0" borderId="0" xfId="0" applyFont="1" applyAlignment="1">
      <alignment horizontal="center" vertical="center" wrapText="1"/>
    </xf>
    <xf numFmtId="0" fontId="9" fillId="0" borderId="0" xfId="3" applyFont="1" applyAlignment="1">
      <alignment horizontal="left"/>
    </xf>
    <xf numFmtId="0" fontId="9" fillId="3" borderId="1" xfId="0" applyFont="1" applyFill="1" applyBorder="1" applyAlignment="1">
      <alignment horizontal="center" vertical="top" wrapText="1"/>
    </xf>
    <xf numFmtId="0" fontId="9" fillId="3" borderId="3" xfId="0" applyFont="1" applyFill="1" applyBorder="1" applyAlignment="1">
      <alignment horizontal="center" vertical="top" wrapText="1"/>
    </xf>
    <xf numFmtId="0" fontId="15" fillId="3" borderId="0" xfId="0" applyFont="1" applyFill="1" applyAlignment="1">
      <alignment horizontal="center" wrapText="1"/>
    </xf>
    <xf numFmtId="0" fontId="9" fillId="3" borderId="2" xfId="0" applyFont="1" applyFill="1" applyBorder="1" applyAlignment="1">
      <alignment horizontal="center" vertical="center" wrapText="1"/>
    </xf>
    <xf numFmtId="0" fontId="29" fillId="0" borderId="2" xfId="1" applyFont="1" applyBorder="1" applyAlignment="1">
      <alignment horizontal="center" vertical="top" wrapText="1"/>
    </xf>
    <xf numFmtId="0" fontId="29" fillId="0" borderId="5" xfId="1" applyFont="1" applyBorder="1" applyAlignment="1">
      <alignment horizontal="center" vertical="top" wrapText="1"/>
    </xf>
    <xf numFmtId="0" fontId="29" fillId="0" borderId="9" xfId="1" applyFont="1" applyBorder="1" applyAlignment="1">
      <alignment horizontal="center" vertical="top" wrapText="1"/>
    </xf>
    <xf numFmtId="0" fontId="29" fillId="0" borderId="6" xfId="1" applyFont="1" applyBorder="1" applyAlignment="1">
      <alignment horizontal="center" vertical="top" wrapText="1"/>
    </xf>
    <xf numFmtId="0" fontId="50" fillId="0" borderId="0" xfId="1" applyFont="1" applyAlignment="1">
      <alignment horizontal="center"/>
    </xf>
    <xf numFmtId="0" fontId="29" fillId="0" borderId="1" xfId="1" applyFont="1" applyBorder="1" applyAlignment="1">
      <alignment horizontal="center" vertical="top" wrapText="1"/>
    </xf>
    <xf numFmtId="0" fontId="29" fillId="0" borderId="3" xfId="1" applyFont="1" applyBorder="1" applyAlignment="1">
      <alignment horizontal="center" vertical="top" wrapText="1"/>
    </xf>
    <xf numFmtId="0" fontId="29" fillId="0" borderId="14" xfId="1" applyFont="1" applyBorder="1" applyAlignment="1">
      <alignment horizontal="center" vertical="top" wrapText="1"/>
    </xf>
    <xf numFmtId="0" fontId="36" fillId="0" borderId="0" xfId="1" applyFont="1" applyAlignment="1">
      <alignment horizontal="center"/>
    </xf>
    <xf numFmtId="0" fontId="25" fillId="0" borderId="2" xfId="1" applyFont="1" applyBorder="1" applyAlignment="1">
      <alignment horizontal="center" vertical="top" wrapText="1"/>
    </xf>
    <xf numFmtId="0" fontId="28" fillId="0" borderId="2" xfId="1" applyFont="1" applyBorder="1" applyAlignment="1">
      <alignment horizontal="center" vertical="top" wrapText="1"/>
    </xf>
    <xf numFmtId="0" fontId="28" fillId="0" borderId="1" xfId="1" applyFont="1" applyBorder="1" applyAlignment="1">
      <alignment horizontal="center" vertical="top" wrapText="1"/>
    </xf>
    <xf numFmtId="0" fontId="28" fillId="0" borderId="3" xfId="1" applyFont="1" applyBorder="1" applyAlignment="1">
      <alignment horizontal="center" vertical="top" wrapText="1"/>
    </xf>
    <xf numFmtId="0" fontId="27" fillId="0" borderId="1" xfId="1" applyFont="1" applyBorder="1" applyAlignment="1">
      <alignment horizontal="center" vertical="top" wrapText="1"/>
    </xf>
    <xf numFmtId="0" fontId="27" fillId="0" borderId="3" xfId="1" applyFont="1" applyBorder="1" applyAlignment="1">
      <alignment horizontal="center" vertical="top" wrapText="1"/>
    </xf>
    <xf numFmtId="0" fontId="27" fillId="0" borderId="5" xfId="1" applyFont="1" applyBorder="1" applyAlignment="1">
      <alignment horizontal="center" vertical="top" wrapText="1"/>
    </xf>
    <xf numFmtId="0" fontId="27" fillId="0" borderId="9" xfId="1" applyFont="1" applyBorder="1" applyAlignment="1">
      <alignment horizontal="center" vertical="top" wrapText="1"/>
    </xf>
    <xf numFmtId="0" fontId="27" fillId="0" borderId="6" xfId="1" applyFont="1" applyBorder="1" applyAlignment="1">
      <alignment horizontal="center" vertical="top" wrapText="1"/>
    </xf>
    <xf numFmtId="0" fontId="25" fillId="0" borderId="5" xfId="1" applyFont="1" applyBorder="1" applyAlignment="1">
      <alignment horizontal="center" vertical="top" wrapText="1"/>
    </xf>
    <xf numFmtId="0" fontId="25" fillId="0" borderId="9" xfId="1" applyFont="1" applyBorder="1" applyAlignment="1">
      <alignment horizontal="center" vertical="top" wrapText="1"/>
    </xf>
    <xf numFmtId="0" fontId="27" fillId="0" borderId="5" xfId="1" applyFont="1" applyBorder="1" applyAlignment="1">
      <alignment horizontal="center" wrapText="1"/>
    </xf>
    <xf numFmtId="0" fontId="27" fillId="0" borderId="9" xfId="1" applyFont="1" applyBorder="1" applyAlignment="1">
      <alignment horizontal="center" wrapText="1"/>
    </xf>
    <xf numFmtId="0" fontId="27" fillId="0" borderId="6" xfId="1" applyFont="1" applyBorder="1" applyAlignment="1">
      <alignment horizontal="center" wrapText="1"/>
    </xf>
    <xf numFmtId="0" fontId="30" fillId="0" borderId="0" xfId="1" applyFont="1" applyAlignment="1">
      <alignment horizontal="center"/>
    </xf>
    <xf numFmtId="0" fontId="29" fillId="0" borderId="10" xfId="1" applyFont="1" applyBorder="1" applyAlignment="1">
      <alignment horizontal="center" vertical="top" wrapText="1"/>
    </xf>
    <xf numFmtId="0" fontId="29" fillId="0" borderId="12" xfId="1" applyFont="1" applyBorder="1" applyAlignment="1">
      <alignment horizontal="center" vertical="top" wrapText="1"/>
    </xf>
    <xf numFmtId="0" fontId="29" fillId="0" borderId="11" xfId="1" applyFont="1" applyBorder="1" applyAlignment="1">
      <alignment horizontal="center" vertical="top" wrapText="1"/>
    </xf>
    <xf numFmtId="0" fontId="29" fillId="0" borderId="17" xfId="1" applyFont="1" applyBorder="1" applyAlignment="1">
      <alignment horizontal="center" vertical="top" wrapText="1"/>
    </xf>
    <xf numFmtId="0" fontId="19" fillId="0" borderId="0" xfId="0" applyFont="1" applyAlignment="1">
      <alignment horizontal="justify" vertical="top" wrapText="1"/>
    </xf>
    <xf numFmtId="0" fontId="14" fillId="0" borderId="0" xfId="0" applyFont="1" applyAlignment="1">
      <alignment horizontal="justify" vertical="top" wrapText="1"/>
    </xf>
    <xf numFmtId="0" fontId="0" fillId="0" borderId="0" xfId="0" applyAlignment="1">
      <alignment wrapText="1"/>
    </xf>
    <xf numFmtId="0" fontId="27" fillId="0" borderId="1" xfId="1" applyFont="1" applyBorder="1" applyAlignment="1">
      <alignment horizontal="center" vertical="top"/>
    </xf>
    <xf numFmtId="0" fontId="27" fillId="0" borderId="10" xfId="1" applyFont="1" applyBorder="1" applyAlignment="1">
      <alignment horizontal="center" vertical="top"/>
    </xf>
    <xf numFmtId="0" fontId="27" fillId="0" borderId="3" xfId="1" applyFont="1" applyBorder="1" applyAlignment="1">
      <alignment horizontal="center" vertical="top"/>
    </xf>
    <xf numFmtId="0" fontId="27" fillId="0" borderId="2" xfId="1" applyFont="1" applyBorder="1" applyAlignment="1">
      <alignment horizontal="center" wrapText="1"/>
    </xf>
    <xf numFmtId="0" fontId="24" fillId="0" borderId="0" xfId="4" applyFont="1" applyBorder="1" applyAlignment="1">
      <alignment horizontal="center"/>
    </xf>
    <xf numFmtId="0" fontId="24" fillId="0" borderId="1" xfId="4" applyFont="1" applyBorder="1" applyAlignment="1">
      <alignment horizontal="center" vertical="top" wrapText="1"/>
    </xf>
    <xf numFmtId="0" fontId="24" fillId="0" borderId="3" xfId="4" applyFont="1" applyBorder="1" applyAlignment="1">
      <alignment horizontal="center" vertical="top" wrapText="1"/>
    </xf>
    <xf numFmtId="0" fontId="24" fillId="0" borderId="5" xfId="4" applyFont="1" applyBorder="1" applyAlignment="1">
      <alignment horizontal="center" vertical="top"/>
    </xf>
    <xf numFmtId="0" fontId="24" fillId="0" borderId="9" xfId="4" applyFont="1" applyBorder="1" applyAlignment="1">
      <alignment horizontal="center" vertical="top"/>
    </xf>
    <xf numFmtId="0" fontId="24" fillId="0" borderId="6" xfId="4" applyFont="1" applyBorder="1" applyAlignment="1">
      <alignment horizontal="center" vertical="top"/>
    </xf>
    <xf numFmtId="0" fontId="24" fillId="0" borderId="2" xfId="4" applyFont="1" applyBorder="1" applyAlignment="1">
      <alignment horizontal="center" vertical="top" wrapText="1"/>
    </xf>
    <xf numFmtId="0" fontId="24" fillId="0" borderId="2" xfId="4" applyFont="1" applyBorder="1" applyAlignment="1">
      <alignment horizontal="center" vertical="top"/>
    </xf>
    <xf numFmtId="0" fontId="24" fillId="0" borderId="5" xfId="4" applyFont="1" applyBorder="1" applyAlignment="1">
      <alignment horizontal="center" vertical="top" wrapText="1"/>
    </xf>
    <xf numFmtId="0" fontId="24" fillId="0" borderId="9" xfId="4" applyFont="1" applyBorder="1" applyAlignment="1">
      <alignment horizontal="center" vertical="top" wrapText="1"/>
    </xf>
    <xf numFmtId="0" fontId="24" fillId="0" borderId="6" xfId="4" applyFont="1" applyBorder="1" applyAlignment="1">
      <alignment horizontal="center" vertical="top" wrapText="1"/>
    </xf>
    <xf numFmtId="0" fontId="9" fillId="0" borderId="5" xfId="4" applyFont="1" applyBorder="1" applyAlignment="1">
      <alignment horizontal="center"/>
    </xf>
    <xf numFmtId="0" fontId="9" fillId="0" borderId="6" xfId="4" applyFont="1" applyBorder="1" applyAlignment="1">
      <alignment horizontal="center"/>
    </xf>
    <xf numFmtId="0" fontId="10" fillId="0" borderId="0" xfId="4" applyFont="1" applyAlignment="1">
      <alignment horizontal="right"/>
    </xf>
    <xf numFmtId="0" fontId="11" fillId="0" borderId="0" xfId="4" applyFont="1" applyAlignment="1">
      <alignment horizontal="center"/>
    </xf>
    <xf numFmtId="0" fontId="12" fillId="0" borderId="0" xfId="4" applyFont="1" applyAlignment="1">
      <alignment horizontal="center"/>
    </xf>
    <xf numFmtId="0" fontId="9" fillId="0" borderId="0" xfId="4" applyFont="1" applyAlignment="1">
      <alignment horizontal="left"/>
    </xf>
    <xf numFmtId="0" fontId="15" fillId="0" borderId="5" xfId="4" applyFont="1" applyBorder="1" applyAlignment="1">
      <alignment horizontal="center" vertical="top" wrapText="1"/>
    </xf>
    <xf numFmtId="0" fontId="15" fillId="0" borderId="6" xfId="4" applyFont="1" applyBorder="1" applyAlignment="1">
      <alignment horizontal="center" vertical="top" wrapText="1"/>
    </xf>
    <xf numFmtId="0" fontId="9" fillId="0" borderId="5" xfId="4" applyFont="1" applyBorder="1" applyAlignment="1">
      <alignment horizontal="center" vertical="center"/>
    </xf>
    <xf numFmtId="0" fontId="9" fillId="0" borderId="6" xfId="4" applyFont="1" applyBorder="1" applyAlignment="1">
      <alignment horizontal="center" vertical="center"/>
    </xf>
    <xf numFmtId="0" fontId="9" fillId="0" borderId="0" xfId="3" applyFont="1" applyAlignment="1">
      <alignment horizontal="center"/>
    </xf>
    <xf numFmtId="0" fontId="19" fillId="0" borderId="0" xfId="3" applyFont="1" applyAlignment="1">
      <alignment horizontal="center"/>
    </xf>
    <xf numFmtId="0" fontId="12" fillId="0" borderId="0" xfId="3" applyFont="1" applyAlignment="1">
      <alignment horizontal="center" wrapText="1"/>
    </xf>
    <xf numFmtId="0" fontId="14" fillId="0" borderId="0" xfId="3" applyFont="1"/>
    <xf numFmtId="0" fontId="9" fillId="0" borderId="2" xfId="3" applyFont="1" applyBorder="1" applyAlignment="1">
      <alignment horizontal="center" vertical="center"/>
    </xf>
  </cellXfs>
  <cellStyles count="33">
    <cellStyle name="Comma 2" xfId="10"/>
    <cellStyle name="Hyperlink" xfId="6" builtinId="8"/>
    <cellStyle name="Normal" xfId="0" builtinId="0"/>
    <cellStyle name="Normal 10" xfId="20"/>
    <cellStyle name="Normal 10 2" xfId="27"/>
    <cellStyle name="Normal 11" xfId="21"/>
    <cellStyle name="Normal 11 2" xfId="28"/>
    <cellStyle name="Normal 2" xfId="1"/>
    <cellStyle name="Normal 2 2" xfId="2"/>
    <cellStyle name="Normal 2 2 2" xfId="14"/>
    <cellStyle name="Normal 2 2 3" xfId="16"/>
    <cellStyle name="Normal 2 2 4" xfId="13"/>
    <cellStyle name="Normal 2 2 5" xfId="23"/>
    <cellStyle name="Normal 2 2 6" xfId="30"/>
    <cellStyle name="Normal 2 3" xfId="7"/>
    <cellStyle name="Normal 2 3 2" xfId="15"/>
    <cellStyle name="Normal 2 4" xfId="17"/>
    <cellStyle name="Normal 2 5" xfId="12"/>
    <cellStyle name="Normal 2 6" xfId="19"/>
    <cellStyle name="Normal 2 7" xfId="22"/>
    <cellStyle name="Normal 2 8" xfId="29"/>
    <cellStyle name="Normal 21" xfId="24"/>
    <cellStyle name="Normal 27" xfId="11"/>
    <cellStyle name="Normal 28" xfId="9"/>
    <cellStyle name="Normal 3" xfId="3"/>
    <cellStyle name="Normal 3 2" xfId="4"/>
    <cellStyle name="Normal 4" xfId="5"/>
    <cellStyle name="Normal 5" xfId="18"/>
    <cellStyle name="Normal 8" xfId="25"/>
    <cellStyle name="Normal 8 2" xfId="31"/>
    <cellStyle name="Normal 9" xfId="26"/>
    <cellStyle name="Normal 9 2" xfId="32"/>
    <cellStyle name="Percent"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3.xml.rels><?xml version="1.0" encoding="UTF-8" standalone="yes"?>
<Relationships xmlns="http://schemas.openxmlformats.org/package/2006/relationships"><Relationship Id="rId8" Type="http://schemas.openxmlformats.org/officeDocument/2006/relationships/hyperlink" Target="javascript:__doPostBack('ctl00$ContentPlaceHolder1$Grd_tot_detail','Sort$August')" TargetMode="External"/><Relationship Id="rId13" Type="http://schemas.openxmlformats.org/officeDocument/2006/relationships/hyperlink" Target="javascript:__doPostBack('ctl00$ContentPlaceHolder1$Grd_tot_detail','Sort$January')" TargetMode="External"/><Relationship Id="rId3" Type="http://schemas.openxmlformats.org/officeDocument/2006/relationships/hyperlink" Target="javascript:__doPostBack('ctl00$ContentPlaceHolder1$Grd_tot_detail','Sort$FreezeSchool')" TargetMode="External"/><Relationship Id="rId7" Type="http://schemas.openxmlformats.org/officeDocument/2006/relationships/hyperlink" Target="javascript:__doPostBack('ctl00$ContentPlaceHolder1$Grd_tot_detail','Sort$July')" TargetMode="External"/><Relationship Id="rId12" Type="http://schemas.openxmlformats.org/officeDocument/2006/relationships/hyperlink" Target="javascript:__doPostBack('ctl00$ContentPlaceHolder1$Grd_tot_detail','Sort$December')" TargetMode="External"/><Relationship Id="rId2" Type="http://schemas.openxmlformats.org/officeDocument/2006/relationships/image" Target="file:///C:\Users\Images\up_down.jpg" TargetMode="External"/><Relationship Id="rId1" Type="http://schemas.openxmlformats.org/officeDocument/2006/relationships/hyperlink" Target="javascript:__doPostBack('ctl00$ContentPlaceHolder1$Grd_tot_detail','Sort$Totalschool')" TargetMode="External"/><Relationship Id="rId6" Type="http://schemas.openxmlformats.org/officeDocument/2006/relationships/hyperlink" Target="javascript:__doPostBack('ctl00$ContentPlaceHolder1$Grd_tot_detail','Sort$June')" TargetMode="External"/><Relationship Id="rId11" Type="http://schemas.openxmlformats.org/officeDocument/2006/relationships/hyperlink" Target="javascript:__doPostBack('ctl00$ContentPlaceHolder1$Grd_tot_detail','Sort$November')" TargetMode="External"/><Relationship Id="rId5" Type="http://schemas.openxmlformats.org/officeDocument/2006/relationships/hyperlink" Target="javascript:__doPostBack('ctl00$ContentPlaceHolder1$Grd_tot_detail','Sort$May')" TargetMode="External"/><Relationship Id="rId15" Type="http://schemas.openxmlformats.org/officeDocument/2006/relationships/hyperlink" Target="javascript:__doPostBack('ctl00$ContentPlaceHolder1$Grd_tot_detail','Sort$March')" TargetMode="External"/><Relationship Id="rId10" Type="http://schemas.openxmlformats.org/officeDocument/2006/relationships/hyperlink" Target="javascript:__doPostBack('ctl00$ContentPlaceHolder1$Grd_tot_detail','Sort$Octeber')" TargetMode="External"/><Relationship Id="rId4" Type="http://schemas.openxmlformats.org/officeDocument/2006/relationships/hyperlink" Target="javascript:__doPostBack('ctl00$ContentPlaceHolder1$Grd_tot_detail','Sort$Apr')" TargetMode="External"/><Relationship Id="rId9" Type="http://schemas.openxmlformats.org/officeDocument/2006/relationships/hyperlink" Target="javascript:__doPostBack('ctl00$ContentPlaceHolder1$Grd_tot_detail','Sort$September')" TargetMode="External"/><Relationship Id="rId14" Type="http://schemas.openxmlformats.org/officeDocument/2006/relationships/hyperlink" Target="javascript:__doPostBack('ctl00$ContentPlaceHolder1$Grd_tot_detail','Sort$Feb')" TargetMode="Externa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147451</xdr:rowOff>
    </xdr:from>
    <xdr:ext cx="9266085" cy="4544096"/>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2020-21</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KARNATAKA</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________</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a:extLst>
            <a:ext uri="{FF2B5EF4-FFF2-40B4-BE49-F238E27FC236}">
              <a16:creationId xmlns="" xmlns:a16="http://schemas.microsoft.com/office/drawing/2014/main" id="{00000000-0008-0000-0200-000002000000}"/>
            </a:ext>
          </a:extLst>
        </xdr:cNvPr>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lnSpc>
              <a:spcPts val="6500"/>
            </a:lnSpc>
          </a:pP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2019-20</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304800</xdr:colOff>
      <xdr:row>12</xdr:row>
      <xdr:rowOff>114300</xdr:rowOff>
    </xdr:to>
    <xdr:pic>
      <xdr:nvPicPr>
        <xdr:cNvPr id="2" name="Picture 3">
          <a:hlinkClick xmlns:r="http://schemas.openxmlformats.org/officeDocument/2006/relationships" r:id="rId1"/>
          <a:extLst>
            <a:ext uri="{FF2B5EF4-FFF2-40B4-BE49-F238E27FC236}">
              <a16:creationId xmlns="" xmlns:a16="http://schemas.microsoft.com/office/drawing/2014/main" id="{BDC85842-9BD1-454B-A849-5F016B8F372E}"/>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53054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304800</xdr:colOff>
      <xdr:row>12</xdr:row>
      <xdr:rowOff>114300</xdr:rowOff>
    </xdr:to>
    <xdr:pic>
      <xdr:nvPicPr>
        <xdr:cNvPr id="3" name="Picture 4">
          <a:hlinkClick xmlns:r="http://schemas.openxmlformats.org/officeDocument/2006/relationships" r:id="rId3"/>
          <a:extLst>
            <a:ext uri="{FF2B5EF4-FFF2-40B4-BE49-F238E27FC236}">
              <a16:creationId xmlns="" xmlns:a16="http://schemas.microsoft.com/office/drawing/2014/main" id="{F9A1E8FA-4653-45BD-925E-C92DDF119257}"/>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59150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304800</xdr:colOff>
      <xdr:row>12</xdr:row>
      <xdr:rowOff>114300</xdr:rowOff>
    </xdr:to>
    <xdr:pic>
      <xdr:nvPicPr>
        <xdr:cNvPr id="4" name="Picture 5">
          <a:hlinkClick xmlns:r="http://schemas.openxmlformats.org/officeDocument/2006/relationships" r:id="rId4"/>
          <a:extLst>
            <a:ext uri="{FF2B5EF4-FFF2-40B4-BE49-F238E27FC236}">
              <a16:creationId xmlns="" xmlns:a16="http://schemas.microsoft.com/office/drawing/2014/main" id="{79A948A4-2A1E-475A-B380-6CF8DA21E013}"/>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65246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304800</xdr:colOff>
      <xdr:row>12</xdr:row>
      <xdr:rowOff>114300</xdr:rowOff>
    </xdr:to>
    <xdr:pic>
      <xdr:nvPicPr>
        <xdr:cNvPr id="5" name="Picture 6">
          <a:hlinkClick xmlns:r="http://schemas.openxmlformats.org/officeDocument/2006/relationships" r:id="rId5"/>
          <a:extLst>
            <a:ext uri="{FF2B5EF4-FFF2-40B4-BE49-F238E27FC236}">
              <a16:creationId xmlns="" xmlns:a16="http://schemas.microsoft.com/office/drawing/2014/main" id="{96CBEC70-7ED0-4BED-9B24-7BAEA04FB6F8}"/>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71342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304800</xdr:colOff>
      <xdr:row>12</xdr:row>
      <xdr:rowOff>114300</xdr:rowOff>
    </xdr:to>
    <xdr:pic>
      <xdr:nvPicPr>
        <xdr:cNvPr id="6" name="Picture 7">
          <a:hlinkClick xmlns:r="http://schemas.openxmlformats.org/officeDocument/2006/relationships" r:id="rId6"/>
          <a:extLst>
            <a:ext uri="{FF2B5EF4-FFF2-40B4-BE49-F238E27FC236}">
              <a16:creationId xmlns="" xmlns:a16="http://schemas.microsoft.com/office/drawing/2014/main" id="{DAAF526D-B92F-4538-8152-902B08E323B2}"/>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77438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304800</xdr:colOff>
      <xdr:row>12</xdr:row>
      <xdr:rowOff>114300</xdr:rowOff>
    </xdr:to>
    <xdr:pic>
      <xdr:nvPicPr>
        <xdr:cNvPr id="7" name="Picture 8">
          <a:hlinkClick xmlns:r="http://schemas.openxmlformats.org/officeDocument/2006/relationships" r:id="rId7"/>
          <a:extLst>
            <a:ext uri="{FF2B5EF4-FFF2-40B4-BE49-F238E27FC236}">
              <a16:creationId xmlns="" xmlns:a16="http://schemas.microsoft.com/office/drawing/2014/main" id="{5230704A-DD93-407A-8FE5-DFEC9C824914}"/>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83534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304800</xdr:colOff>
      <xdr:row>12</xdr:row>
      <xdr:rowOff>114300</xdr:rowOff>
    </xdr:to>
    <xdr:pic>
      <xdr:nvPicPr>
        <xdr:cNvPr id="8" name="Picture 9">
          <a:hlinkClick xmlns:r="http://schemas.openxmlformats.org/officeDocument/2006/relationships" r:id="rId8"/>
          <a:extLst>
            <a:ext uri="{FF2B5EF4-FFF2-40B4-BE49-F238E27FC236}">
              <a16:creationId xmlns="" xmlns:a16="http://schemas.microsoft.com/office/drawing/2014/main" id="{4ACE6272-0A13-4850-8C95-73A6D00FA311}"/>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89630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9</xdr:col>
      <xdr:colOff>0</xdr:colOff>
      <xdr:row>10</xdr:row>
      <xdr:rowOff>0</xdr:rowOff>
    </xdr:from>
    <xdr:to>
      <xdr:col>9</xdr:col>
      <xdr:colOff>304800</xdr:colOff>
      <xdr:row>12</xdr:row>
      <xdr:rowOff>114300</xdr:rowOff>
    </xdr:to>
    <xdr:pic>
      <xdr:nvPicPr>
        <xdr:cNvPr id="9" name="Picture 10">
          <a:hlinkClick xmlns:r="http://schemas.openxmlformats.org/officeDocument/2006/relationships" r:id="rId9"/>
          <a:extLst>
            <a:ext uri="{FF2B5EF4-FFF2-40B4-BE49-F238E27FC236}">
              <a16:creationId xmlns="" xmlns:a16="http://schemas.microsoft.com/office/drawing/2014/main" id="{89EBBE33-0F13-483C-88C2-EFFF9473126E}"/>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95726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10</xdr:col>
      <xdr:colOff>0</xdr:colOff>
      <xdr:row>10</xdr:row>
      <xdr:rowOff>0</xdr:rowOff>
    </xdr:from>
    <xdr:to>
      <xdr:col>10</xdr:col>
      <xdr:colOff>304800</xdr:colOff>
      <xdr:row>12</xdr:row>
      <xdr:rowOff>114300</xdr:rowOff>
    </xdr:to>
    <xdr:pic>
      <xdr:nvPicPr>
        <xdr:cNvPr id="10" name="Picture 11">
          <a:hlinkClick xmlns:r="http://schemas.openxmlformats.org/officeDocument/2006/relationships" r:id="rId10"/>
          <a:extLst>
            <a:ext uri="{FF2B5EF4-FFF2-40B4-BE49-F238E27FC236}">
              <a16:creationId xmlns="" xmlns:a16="http://schemas.microsoft.com/office/drawing/2014/main" id="{6BD5BAFC-3ACB-4BA8-A4A1-FFAF31C13F2A}"/>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101822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11</xdr:col>
      <xdr:colOff>0</xdr:colOff>
      <xdr:row>10</xdr:row>
      <xdr:rowOff>0</xdr:rowOff>
    </xdr:from>
    <xdr:to>
      <xdr:col>11</xdr:col>
      <xdr:colOff>304800</xdr:colOff>
      <xdr:row>12</xdr:row>
      <xdr:rowOff>114300</xdr:rowOff>
    </xdr:to>
    <xdr:pic>
      <xdr:nvPicPr>
        <xdr:cNvPr id="11" name="Picture 12">
          <a:hlinkClick xmlns:r="http://schemas.openxmlformats.org/officeDocument/2006/relationships" r:id="rId11"/>
          <a:extLst>
            <a:ext uri="{FF2B5EF4-FFF2-40B4-BE49-F238E27FC236}">
              <a16:creationId xmlns="" xmlns:a16="http://schemas.microsoft.com/office/drawing/2014/main" id="{690A4C64-870B-47C7-B43D-A4393B230D81}"/>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107918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304800</xdr:colOff>
      <xdr:row>12</xdr:row>
      <xdr:rowOff>114300</xdr:rowOff>
    </xdr:to>
    <xdr:pic>
      <xdr:nvPicPr>
        <xdr:cNvPr id="12" name="Picture 13">
          <a:hlinkClick xmlns:r="http://schemas.openxmlformats.org/officeDocument/2006/relationships" r:id="rId12"/>
          <a:extLst>
            <a:ext uri="{FF2B5EF4-FFF2-40B4-BE49-F238E27FC236}">
              <a16:creationId xmlns="" xmlns:a16="http://schemas.microsoft.com/office/drawing/2014/main" id="{2C4548ED-0C65-46F6-B640-308A7A3B8DF7}"/>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114014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304800</xdr:colOff>
      <xdr:row>12</xdr:row>
      <xdr:rowOff>114300</xdr:rowOff>
    </xdr:to>
    <xdr:pic>
      <xdr:nvPicPr>
        <xdr:cNvPr id="13" name="Picture 14">
          <a:hlinkClick xmlns:r="http://schemas.openxmlformats.org/officeDocument/2006/relationships" r:id="rId13"/>
          <a:extLst>
            <a:ext uri="{FF2B5EF4-FFF2-40B4-BE49-F238E27FC236}">
              <a16:creationId xmlns="" xmlns:a16="http://schemas.microsoft.com/office/drawing/2014/main" id="{E0310476-9B8C-4F8D-9D2F-2CF33465F302}"/>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120110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304800</xdr:colOff>
      <xdr:row>12</xdr:row>
      <xdr:rowOff>114300</xdr:rowOff>
    </xdr:to>
    <xdr:pic>
      <xdr:nvPicPr>
        <xdr:cNvPr id="14" name="Picture 15">
          <a:hlinkClick xmlns:r="http://schemas.openxmlformats.org/officeDocument/2006/relationships" r:id="rId14"/>
          <a:extLst>
            <a:ext uri="{FF2B5EF4-FFF2-40B4-BE49-F238E27FC236}">
              <a16:creationId xmlns="" xmlns:a16="http://schemas.microsoft.com/office/drawing/2014/main" id="{1870E38C-6FB0-465B-ADFA-3443CB6450D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126206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304800</xdr:colOff>
      <xdr:row>12</xdr:row>
      <xdr:rowOff>114300</xdr:rowOff>
    </xdr:to>
    <xdr:pic>
      <xdr:nvPicPr>
        <xdr:cNvPr id="15" name="Picture 16">
          <a:hlinkClick xmlns:r="http://schemas.openxmlformats.org/officeDocument/2006/relationships" r:id="rId15"/>
          <a:extLst>
            <a:ext uri="{FF2B5EF4-FFF2-40B4-BE49-F238E27FC236}">
              <a16:creationId xmlns="" xmlns:a16="http://schemas.microsoft.com/office/drawing/2014/main" id="{8C298110-252A-4366-AA88-C2A3035BE212}"/>
            </a:ext>
          </a:extLst>
        </xdr:cNvPr>
        <xdr:cNvPicPr>
          <a:picLocks noChangeAspect="1" noChangeArrowheads="1"/>
        </xdr:cNvPicPr>
      </xdr:nvPicPr>
      <xdr:blipFill>
        <a:blip xmlns:r="http://schemas.openxmlformats.org/officeDocument/2006/relationships" r:link="rId2" cstate="print">
          <a:extLst>
            <a:ext uri="{28A0092B-C50C-407E-A947-70E740481C1C}">
              <a14:useLocalDpi xmlns="" xmlns:a14="http://schemas.microsoft.com/office/drawing/2010/main" val="0"/>
            </a:ext>
          </a:extLst>
        </a:blip>
        <a:srcRect/>
        <a:stretch>
          <a:fillRect/>
        </a:stretch>
      </xdr:blipFill>
      <xdr:spPr bwMode="auto">
        <a:xfrm>
          <a:off x="13230225" y="762000"/>
          <a:ext cx="3048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17" Type="http://schemas.openxmlformats.org/officeDocument/2006/relationships/hyperlink" Target="javascript:__doPostBack('ctl00$ContentPlaceHolder1$Grd_tot_detail$ctl12$hypAugust','')" TargetMode="External"/><Relationship Id="rId299" Type="http://schemas.openxmlformats.org/officeDocument/2006/relationships/hyperlink" Target="javascript:__doPostBack('ctl00$ContentPlaceHolder1$Grd_tot_detail$ctl29$hypDecember','')" TargetMode="External"/><Relationship Id="rId303" Type="http://schemas.openxmlformats.org/officeDocument/2006/relationships/hyperlink" Target="javascript:__doPostBack('ctl00$ContentPlaceHolder1$Grd_tot_detail$ctl30$hypmay','')" TargetMode="External"/><Relationship Id="rId21" Type="http://schemas.openxmlformats.org/officeDocument/2006/relationships/hyperlink" Target="javascript:__doPostBack('ctl00$ContentPlaceHolder1$Grd_tot_detail$ctl03$hypNovember','')" TargetMode="External"/><Relationship Id="rId42" Type="http://schemas.openxmlformats.org/officeDocument/2006/relationships/hyperlink" Target="javascript:__doPostBack('ctl00$ContentPlaceHolder1$Grd_tot_detail$ctl05$hypOcteber','')" TargetMode="External"/><Relationship Id="rId63" Type="http://schemas.openxmlformats.org/officeDocument/2006/relationships/hyperlink" Target="javascript:__doPostBack('ctl00$ContentPlaceHolder1$Grd_tot_detail$ctl07$hypSeptember','')" TargetMode="External"/><Relationship Id="rId84" Type="http://schemas.openxmlformats.org/officeDocument/2006/relationships/hyperlink" Target="javascript:__doPostBack('ctl00$ContentPlaceHolder1$Grd_tot_detail$ctl09$hypAugust','')" TargetMode="External"/><Relationship Id="rId138" Type="http://schemas.openxmlformats.org/officeDocument/2006/relationships/hyperlink" Target="javascript:__doPostBack('ctl00$ContentPlaceHolder1$Grd_tot_detail$ctl14$hypjuly','')" TargetMode="External"/><Relationship Id="rId159" Type="http://schemas.openxmlformats.org/officeDocument/2006/relationships/hyperlink" Target="javascript:__doPostBack('ctl00$ContentPlaceHolder1$Grd_tot_detail$ctl17$hypapr','')" TargetMode="External"/><Relationship Id="rId324" Type="http://schemas.openxmlformats.org/officeDocument/2006/relationships/hyperlink" Target="javascript:__doPostBack('ctl00$ContentPlaceHolder1$Grd_tot_detail$ctl32$hypapr','')" TargetMode="External"/><Relationship Id="rId345" Type="http://schemas.openxmlformats.org/officeDocument/2006/relationships/hyperlink" Target="javascript:__doPostBack('ctl00$ContentPlaceHolder1$Grd_tot_detail$ctl34$lbtnfreezsch','')" TargetMode="External"/><Relationship Id="rId366" Type="http://schemas.openxmlformats.org/officeDocument/2006/relationships/printerSettings" Target="../printerSettings/printerSettings51.bin"/><Relationship Id="rId170" Type="http://schemas.openxmlformats.org/officeDocument/2006/relationships/hyperlink" Target="javascript:__doPostBack('ctl00$ContentPlaceHolder1$Grd_tot_detail$ctl18$hypapr','')" TargetMode="External"/><Relationship Id="rId191" Type="http://schemas.openxmlformats.org/officeDocument/2006/relationships/hyperlink" Target="javascript:__doPostBack('ctl00$ContentPlaceHolder1$Grd_tot_detail$ctl20$lbtnfreezsch','')" TargetMode="External"/><Relationship Id="rId205" Type="http://schemas.openxmlformats.org/officeDocument/2006/relationships/hyperlink" Target="javascript:__doPostBack('ctl00$ContentPlaceHolder1$Grd_tot_detail$ctl21$hypjune','')" TargetMode="External"/><Relationship Id="rId226" Type="http://schemas.openxmlformats.org/officeDocument/2006/relationships/hyperlink" Target="javascript:__doPostBack('ctl00$ContentPlaceHolder1$Grd_tot_detail$ctl23$hypmay','')" TargetMode="External"/><Relationship Id="rId247" Type="http://schemas.openxmlformats.org/officeDocument/2006/relationships/hyperlink" Target="javascript:__doPostBack('ctl00$ContentPlaceHolder1$Grd_tot_detail$ctl25$hypapr','')" TargetMode="External"/><Relationship Id="rId107" Type="http://schemas.openxmlformats.org/officeDocument/2006/relationships/hyperlink" Target="javascript:__doPostBack('ctl00$ContentPlaceHolder1$Grd_tot_detail$ctl11$hypSeptember','')" TargetMode="External"/><Relationship Id="rId268" Type="http://schemas.openxmlformats.org/officeDocument/2006/relationships/hyperlink" Target="javascript:__doPostBack('ctl00$ContentPlaceHolder1$Grd_tot_detail$ctl27$lbtnfreezsch','')" TargetMode="External"/><Relationship Id="rId289" Type="http://schemas.openxmlformats.org/officeDocument/2006/relationships/hyperlink" Target="javascript:__doPostBack('ctl00$ContentPlaceHolder1$Grd_tot_detail$ctl29$lbtnttlsch','')" TargetMode="External"/><Relationship Id="rId11" Type="http://schemas.openxmlformats.org/officeDocument/2006/relationships/hyperlink" Target="javascript:__doPostBack('ctl00$ContentPlaceHolder1$Grd_tot_detail$ctl02$hypDecember','')" TargetMode="External"/><Relationship Id="rId32" Type="http://schemas.openxmlformats.org/officeDocument/2006/relationships/hyperlink" Target="javascript:__doPostBack('ctl00$ContentPlaceHolder1$Grd_tot_detail$ctl04$hypNovember','')" TargetMode="External"/><Relationship Id="rId53" Type="http://schemas.openxmlformats.org/officeDocument/2006/relationships/hyperlink" Target="javascript:__doPostBack('ctl00$ContentPlaceHolder1$Grd_tot_detail$ctl06$hypOcteber','')" TargetMode="External"/><Relationship Id="rId74" Type="http://schemas.openxmlformats.org/officeDocument/2006/relationships/hyperlink" Target="javascript:__doPostBack('ctl00$ContentPlaceHolder1$Grd_tot_detail$ctl08$hypSeptember','')" TargetMode="External"/><Relationship Id="rId128" Type="http://schemas.openxmlformats.org/officeDocument/2006/relationships/hyperlink" Target="javascript:__doPostBack('ctl00$ContentPlaceHolder1$Grd_tot_detail$ctl13$hypAugust','')" TargetMode="External"/><Relationship Id="rId149" Type="http://schemas.openxmlformats.org/officeDocument/2006/relationships/hyperlink" Target="javascript:__doPostBack('ctl00$ContentPlaceHolder1$Grd_tot_detail$ctl15$hypjuly','')" TargetMode="External"/><Relationship Id="rId314" Type="http://schemas.openxmlformats.org/officeDocument/2006/relationships/hyperlink" Target="javascript:__doPostBack('ctl00$ContentPlaceHolder1$Grd_tot_detail$ctl31$hypmay','')" TargetMode="External"/><Relationship Id="rId335" Type="http://schemas.openxmlformats.org/officeDocument/2006/relationships/hyperlink" Target="javascript:__doPostBack('ctl00$ContentPlaceHolder1$Grd_tot_detail$ctl33$hypapr','')" TargetMode="External"/><Relationship Id="rId356" Type="http://schemas.openxmlformats.org/officeDocument/2006/relationships/hyperlink" Target="javascript:__doPostBack('ctl00$ContentPlaceHolder1$Grd_tot_detail$ctl35$lbtnfreezsch','')" TargetMode="External"/><Relationship Id="rId5" Type="http://schemas.openxmlformats.org/officeDocument/2006/relationships/hyperlink" Target="javascript:__doPostBack('ctl00$ContentPlaceHolder1$Grd_tot_detail$ctl02$hypjune','')" TargetMode="External"/><Relationship Id="rId95" Type="http://schemas.openxmlformats.org/officeDocument/2006/relationships/hyperlink" Target="javascript:__doPostBack('ctl00$ContentPlaceHolder1$Grd_tot_detail$ctl10$hypAugust','')" TargetMode="External"/><Relationship Id="rId160" Type="http://schemas.openxmlformats.org/officeDocument/2006/relationships/hyperlink" Target="javascript:__doPostBack('ctl00$ContentPlaceHolder1$Grd_tot_detail$ctl17$hypmay','')" TargetMode="External"/><Relationship Id="rId181" Type="http://schemas.openxmlformats.org/officeDocument/2006/relationships/hyperlink" Target="javascript:__doPostBack('ctl00$ContentPlaceHolder1$Grd_tot_detail$ctl19$hypapr','')" TargetMode="External"/><Relationship Id="rId216" Type="http://schemas.openxmlformats.org/officeDocument/2006/relationships/hyperlink" Target="javascript:__doPostBack('ctl00$ContentPlaceHolder1$Grd_tot_detail$ctl22$hypjune','')" TargetMode="External"/><Relationship Id="rId237" Type="http://schemas.openxmlformats.org/officeDocument/2006/relationships/hyperlink" Target="javascript:__doPostBack('ctl00$ContentPlaceHolder1$Grd_tot_detail$ctl24$hypmay','')" TargetMode="External"/><Relationship Id="rId258" Type="http://schemas.openxmlformats.org/officeDocument/2006/relationships/hyperlink" Target="javascript:__doPostBack('ctl00$ContentPlaceHolder1$Grd_tot_detail$ctl26$hypapr','')" TargetMode="External"/><Relationship Id="rId279" Type="http://schemas.openxmlformats.org/officeDocument/2006/relationships/hyperlink" Target="javascript:__doPostBack('ctl00$ContentPlaceHolder1$Grd_tot_detail$ctl28$lbtnfreezsch','')" TargetMode="External"/><Relationship Id="rId22" Type="http://schemas.openxmlformats.org/officeDocument/2006/relationships/hyperlink" Target="javascript:__doPostBack('ctl00$ContentPlaceHolder1$Grd_tot_detail$ctl03$hypDecember','')" TargetMode="External"/><Relationship Id="rId43" Type="http://schemas.openxmlformats.org/officeDocument/2006/relationships/hyperlink" Target="javascript:__doPostBack('ctl00$ContentPlaceHolder1$Grd_tot_detail$ctl05$hypNovember','')" TargetMode="External"/><Relationship Id="rId64" Type="http://schemas.openxmlformats.org/officeDocument/2006/relationships/hyperlink" Target="javascript:__doPostBack('ctl00$ContentPlaceHolder1$Grd_tot_detail$ctl07$hypOcteber','')" TargetMode="External"/><Relationship Id="rId118" Type="http://schemas.openxmlformats.org/officeDocument/2006/relationships/hyperlink" Target="javascript:__doPostBack('ctl00$ContentPlaceHolder1$Grd_tot_detail$ctl12$hypSeptember','')" TargetMode="External"/><Relationship Id="rId139" Type="http://schemas.openxmlformats.org/officeDocument/2006/relationships/hyperlink" Target="javascript:__doPostBack('ctl00$ContentPlaceHolder1$Grd_tot_detail$ctl14$hypAugust','')" TargetMode="External"/><Relationship Id="rId290" Type="http://schemas.openxmlformats.org/officeDocument/2006/relationships/hyperlink" Target="javascript:__doPostBack('ctl00$ContentPlaceHolder1$Grd_tot_detail$ctl29$lbtnfreezsch','')" TargetMode="External"/><Relationship Id="rId304" Type="http://schemas.openxmlformats.org/officeDocument/2006/relationships/hyperlink" Target="javascript:__doPostBack('ctl00$ContentPlaceHolder1$Grd_tot_detail$ctl30$hypjune','')" TargetMode="External"/><Relationship Id="rId325" Type="http://schemas.openxmlformats.org/officeDocument/2006/relationships/hyperlink" Target="javascript:__doPostBack('ctl00$ContentPlaceHolder1$Grd_tot_detail$ctl32$hypmay','')" TargetMode="External"/><Relationship Id="rId346" Type="http://schemas.openxmlformats.org/officeDocument/2006/relationships/hyperlink" Target="javascript:__doPostBack('ctl00$ContentPlaceHolder1$Grd_tot_detail$ctl34$hypapr','')" TargetMode="External"/><Relationship Id="rId367" Type="http://schemas.openxmlformats.org/officeDocument/2006/relationships/drawing" Target="../drawings/drawing3.xml"/><Relationship Id="rId85" Type="http://schemas.openxmlformats.org/officeDocument/2006/relationships/hyperlink" Target="javascript:__doPostBack('ctl00$ContentPlaceHolder1$Grd_tot_detail$ctl09$hypSeptember','')" TargetMode="External"/><Relationship Id="rId150" Type="http://schemas.openxmlformats.org/officeDocument/2006/relationships/hyperlink" Target="javascript:__doPostBack('ctl00$ContentPlaceHolder1$Grd_tot_detail$ctl15$hypAugust','')" TargetMode="External"/><Relationship Id="rId171" Type="http://schemas.openxmlformats.org/officeDocument/2006/relationships/hyperlink" Target="javascript:__doPostBack('ctl00$ContentPlaceHolder1$Grd_tot_detail$ctl18$hypmay','')" TargetMode="External"/><Relationship Id="rId192" Type="http://schemas.openxmlformats.org/officeDocument/2006/relationships/hyperlink" Target="javascript:__doPostBack('ctl00$ContentPlaceHolder1$Grd_tot_detail$ctl20$hypapr','')" TargetMode="External"/><Relationship Id="rId206" Type="http://schemas.openxmlformats.org/officeDocument/2006/relationships/hyperlink" Target="javascript:__doPostBack('ctl00$ContentPlaceHolder1$Grd_tot_detail$ctl21$hypjuly','')" TargetMode="External"/><Relationship Id="rId227" Type="http://schemas.openxmlformats.org/officeDocument/2006/relationships/hyperlink" Target="javascript:__doPostBack('ctl00$ContentPlaceHolder1$Grd_tot_detail$ctl23$hypjune','')" TargetMode="External"/><Relationship Id="rId248" Type="http://schemas.openxmlformats.org/officeDocument/2006/relationships/hyperlink" Target="javascript:__doPostBack('ctl00$ContentPlaceHolder1$Grd_tot_detail$ctl25$hypmay','')" TargetMode="External"/><Relationship Id="rId269" Type="http://schemas.openxmlformats.org/officeDocument/2006/relationships/hyperlink" Target="javascript:__doPostBack('ctl00$ContentPlaceHolder1$Grd_tot_detail$ctl27$hypapr','')" TargetMode="External"/><Relationship Id="rId12" Type="http://schemas.openxmlformats.org/officeDocument/2006/relationships/hyperlink" Target="javascript:__doPostBack('ctl00$ContentPlaceHolder1$Grd_tot_detail$ctl03$lbtnttlsch','')" TargetMode="External"/><Relationship Id="rId33" Type="http://schemas.openxmlformats.org/officeDocument/2006/relationships/hyperlink" Target="javascript:__doPostBack('ctl00$ContentPlaceHolder1$Grd_tot_detail$ctl04$hypDecember','')" TargetMode="External"/><Relationship Id="rId108" Type="http://schemas.openxmlformats.org/officeDocument/2006/relationships/hyperlink" Target="javascript:__doPostBack('ctl00$ContentPlaceHolder1$Grd_tot_detail$ctl11$hypOcteber','')" TargetMode="External"/><Relationship Id="rId129" Type="http://schemas.openxmlformats.org/officeDocument/2006/relationships/hyperlink" Target="javascript:__doPostBack('ctl00$ContentPlaceHolder1$Grd_tot_detail$ctl13$hypSeptember','')" TargetMode="External"/><Relationship Id="rId280" Type="http://schemas.openxmlformats.org/officeDocument/2006/relationships/hyperlink" Target="javascript:__doPostBack('ctl00$ContentPlaceHolder1$Grd_tot_detail$ctl28$hypapr','')" TargetMode="External"/><Relationship Id="rId315" Type="http://schemas.openxmlformats.org/officeDocument/2006/relationships/hyperlink" Target="javascript:__doPostBack('ctl00$ContentPlaceHolder1$Grd_tot_detail$ctl31$hypjune','')" TargetMode="External"/><Relationship Id="rId336" Type="http://schemas.openxmlformats.org/officeDocument/2006/relationships/hyperlink" Target="javascript:__doPostBack('ctl00$ContentPlaceHolder1$Grd_tot_detail$ctl33$hypmay','')" TargetMode="External"/><Relationship Id="rId357" Type="http://schemas.openxmlformats.org/officeDocument/2006/relationships/hyperlink" Target="javascript:__doPostBack('ctl00$ContentPlaceHolder1$Grd_tot_detail$ctl35$hypapr','')" TargetMode="External"/><Relationship Id="rId54" Type="http://schemas.openxmlformats.org/officeDocument/2006/relationships/hyperlink" Target="javascript:__doPostBack('ctl00$ContentPlaceHolder1$Grd_tot_detail$ctl06$hypNovember','')" TargetMode="External"/><Relationship Id="rId75" Type="http://schemas.openxmlformats.org/officeDocument/2006/relationships/hyperlink" Target="javascript:__doPostBack('ctl00$ContentPlaceHolder1$Grd_tot_detail$ctl08$hypOcteber','')" TargetMode="External"/><Relationship Id="rId96" Type="http://schemas.openxmlformats.org/officeDocument/2006/relationships/hyperlink" Target="javascript:__doPostBack('ctl00$ContentPlaceHolder1$Grd_tot_detail$ctl10$hypSeptember','')" TargetMode="External"/><Relationship Id="rId140" Type="http://schemas.openxmlformats.org/officeDocument/2006/relationships/hyperlink" Target="javascript:__doPostBack('ctl00$ContentPlaceHolder1$Grd_tot_detail$ctl14$hypSeptember','')" TargetMode="External"/><Relationship Id="rId161" Type="http://schemas.openxmlformats.org/officeDocument/2006/relationships/hyperlink" Target="javascript:__doPostBack('ctl00$ContentPlaceHolder1$Grd_tot_detail$ctl17$hypjune','')" TargetMode="External"/><Relationship Id="rId182" Type="http://schemas.openxmlformats.org/officeDocument/2006/relationships/hyperlink" Target="javascript:__doPostBack('ctl00$ContentPlaceHolder1$Grd_tot_detail$ctl19$hypmay','')" TargetMode="External"/><Relationship Id="rId217" Type="http://schemas.openxmlformats.org/officeDocument/2006/relationships/hyperlink" Target="javascript:__doPostBack('ctl00$ContentPlaceHolder1$Grd_tot_detail$ctl22$hypjuly','')" TargetMode="External"/><Relationship Id="rId6" Type="http://schemas.openxmlformats.org/officeDocument/2006/relationships/hyperlink" Target="javascript:__doPostBack('ctl00$ContentPlaceHolder1$Grd_tot_detail$ctl02$hypjuly','')" TargetMode="External"/><Relationship Id="rId238" Type="http://schemas.openxmlformats.org/officeDocument/2006/relationships/hyperlink" Target="javascript:__doPostBack('ctl00$ContentPlaceHolder1$Grd_tot_detail$ctl24$hypjune','')" TargetMode="External"/><Relationship Id="rId259" Type="http://schemas.openxmlformats.org/officeDocument/2006/relationships/hyperlink" Target="javascript:__doPostBack('ctl00$ContentPlaceHolder1$Grd_tot_detail$ctl26$hypmay','')" TargetMode="External"/><Relationship Id="rId23" Type="http://schemas.openxmlformats.org/officeDocument/2006/relationships/hyperlink" Target="javascript:__doPostBack('ctl00$ContentPlaceHolder1$Grd_tot_detail$ctl04$lbtnttlsch','')" TargetMode="External"/><Relationship Id="rId119" Type="http://schemas.openxmlformats.org/officeDocument/2006/relationships/hyperlink" Target="javascript:__doPostBack('ctl00$ContentPlaceHolder1$Grd_tot_detail$ctl12$hypOcteber','')" TargetMode="External"/><Relationship Id="rId270" Type="http://schemas.openxmlformats.org/officeDocument/2006/relationships/hyperlink" Target="javascript:__doPostBack('ctl00$ContentPlaceHolder1$Grd_tot_detail$ctl27$hypmay','')" TargetMode="External"/><Relationship Id="rId291" Type="http://schemas.openxmlformats.org/officeDocument/2006/relationships/hyperlink" Target="javascript:__doPostBack('ctl00$ContentPlaceHolder1$Grd_tot_detail$ctl29$hypapr','')" TargetMode="External"/><Relationship Id="rId305" Type="http://schemas.openxmlformats.org/officeDocument/2006/relationships/hyperlink" Target="javascript:__doPostBack('ctl00$ContentPlaceHolder1$Grd_tot_detail$ctl30$hypjuly','')" TargetMode="External"/><Relationship Id="rId326" Type="http://schemas.openxmlformats.org/officeDocument/2006/relationships/hyperlink" Target="javascript:__doPostBack('ctl00$ContentPlaceHolder1$Grd_tot_detail$ctl32$hypjune','')" TargetMode="External"/><Relationship Id="rId347" Type="http://schemas.openxmlformats.org/officeDocument/2006/relationships/hyperlink" Target="javascript:__doPostBack('ctl00$ContentPlaceHolder1$Grd_tot_detail$ctl34$hypmay','')" TargetMode="External"/><Relationship Id="rId44" Type="http://schemas.openxmlformats.org/officeDocument/2006/relationships/hyperlink" Target="javascript:__doPostBack('ctl00$ContentPlaceHolder1$Grd_tot_detail$ctl05$hypDecember','')" TargetMode="External"/><Relationship Id="rId65" Type="http://schemas.openxmlformats.org/officeDocument/2006/relationships/hyperlink" Target="javascript:__doPostBack('ctl00$ContentPlaceHolder1$Grd_tot_detail$ctl07$hypNovember','')" TargetMode="External"/><Relationship Id="rId86" Type="http://schemas.openxmlformats.org/officeDocument/2006/relationships/hyperlink" Target="javascript:__doPostBack('ctl00$ContentPlaceHolder1$Grd_tot_detail$ctl09$hypOcteber','')" TargetMode="External"/><Relationship Id="rId130" Type="http://schemas.openxmlformats.org/officeDocument/2006/relationships/hyperlink" Target="javascript:__doPostBack('ctl00$ContentPlaceHolder1$Grd_tot_detail$ctl13$hypOcteber','')" TargetMode="External"/><Relationship Id="rId151" Type="http://schemas.openxmlformats.org/officeDocument/2006/relationships/hyperlink" Target="javascript:__doPostBack('ctl00$ContentPlaceHolder1$Grd_tot_detail$ctl15$hypSeptember','')" TargetMode="External"/><Relationship Id="rId172" Type="http://schemas.openxmlformats.org/officeDocument/2006/relationships/hyperlink" Target="javascript:__doPostBack('ctl00$ContentPlaceHolder1$Grd_tot_detail$ctl18$hypjune','')" TargetMode="External"/><Relationship Id="rId193" Type="http://schemas.openxmlformats.org/officeDocument/2006/relationships/hyperlink" Target="javascript:__doPostBack('ctl00$ContentPlaceHolder1$Grd_tot_detail$ctl20$hypmay','')" TargetMode="External"/><Relationship Id="rId207" Type="http://schemas.openxmlformats.org/officeDocument/2006/relationships/hyperlink" Target="javascript:__doPostBack('ctl00$ContentPlaceHolder1$Grd_tot_detail$ctl21$hypAugust','')" TargetMode="External"/><Relationship Id="rId228" Type="http://schemas.openxmlformats.org/officeDocument/2006/relationships/hyperlink" Target="javascript:__doPostBack('ctl00$ContentPlaceHolder1$Grd_tot_detail$ctl23$hypjuly','')" TargetMode="External"/><Relationship Id="rId249" Type="http://schemas.openxmlformats.org/officeDocument/2006/relationships/hyperlink" Target="javascript:__doPostBack('ctl00$ContentPlaceHolder1$Grd_tot_detail$ctl25$hypjune','')" TargetMode="External"/><Relationship Id="rId13" Type="http://schemas.openxmlformats.org/officeDocument/2006/relationships/hyperlink" Target="javascript:__doPostBack('ctl00$ContentPlaceHolder1$Grd_tot_detail$ctl03$lbtnfreezsch','')" TargetMode="External"/><Relationship Id="rId109" Type="http://schemas.openxmlformats.org/officeDocument/2006/relationships/hyperlink" Target="javascript:__doPostBack('ctl00$ContentPlaceHolder1$Grd_tot_detail$ctl11$hypNovember','')" TargetMode="External"/><Relationship Id="rId260" Type="http://schemas.openxmlformats.org/officeDocument/2006/relationships/hyperlink" Target="javascript:__doPostBack('ctl00$ContentPlaceHolder1$Grd_tot_detail$ctl26$hypjune','')" TargetMode="External"/><Relationship Id="rId281" Type="http://schemas.openxmlformats.org/officeDocument/2006/relationships/hyperlink" Target="javascript:__doPostBack('ctl00$ContentPlaceHolder1$Grd_tot_detail$ctl28$hypmay','')" TargetMode="External"/><Relationship Id="rId316" Type="http://schemas.openxmlformats.org/officeDocument/2006/relationships/hyperlink" Target="javascript:__doPostBack('ctl00$ContentPlaceHolder1$Grd_tot_detail$ctl31$hypjuly','')" TargetMode="External"/><Relationship Id="rId337" Type="http://schemas.openxmlformats.org/officeDocument/2006/relationships/hyperlink" Target="javascript:__doPostBack('ctl00$ContentPlaceHolder1$Grd_tot_detail$ctl33$hypjune','')" TargetMode="External"/><Relationship Id="rId34" Type="http://schemas.openxmlformats.org/officeDocument/2006/relationships/hyperlink" Target="javascript:__doPostBack('ctl00$ContentPlaceHolder1$Grd_tot_detail$ctl05$lbtnttlsch','')" TargetMode="External"/><Relationship Id="rId55" Type="http://schemas.openxmlformats.org/officeDocument/2006/relationships/hyperlink" Target="javascript:__doPostBack('ctl00$ContentPlaceHolder1$Grd_tot_detail$ctl06$hypDecember','')" TargetMode="External"/><Relationship Id="rId76" Type="http://schemas.openxmlformats.org/officeDocument/2006/relationships/hyperlink" Target="javascript:__doPostBack('ctl00$ContentPlaceHolder1$Grd_tot_detail$ctl08$hypNovember','')" TargetMode="External"/><Relationship Id="rId97" Type="http://schemas.openxmlformats.org/officeDocument/2006/relationships/hyperlink" Target="javascript:__doPostBack('ctl00$ContentPlaceHolder1$Grd_tot_detail$ctl10$hypOcteber','')" TargetMode="External"/><Relationship Id="rId120" Type="http://schemas.openxmlformats.org/officeDocument/2006/relationships/hyperlink" Target="javascript:__doPostBack('ctl00$ContentPlaceHolder1$Grd_tot_detail$ctl12$hypNovember','')" TargetMode="External"/><Relationship Id="rId141" Type="http://schemas.openxmlformats.org/officeDocument/2006/relationships/hyperlink" Target="javascript:__doPostBack('ctl00$ContentPlaceHolder1$Grd_tot_detail$ctl14$hypOcteber','')" TargetMode="External"/><Relationship Id="rId358" Type="http://schemas.openxmlformats.org/officeDocument/2006/relationships/hyperlink" Target="javascript:__doPostBack('ctl00$ContentPlaceHolder1$Grd_tot_detail$ctl35$hypmay','')" TargetMode="External"/><Relationship Id="rId7" Type="http://schemas.openxmlformats.org/officeDocument/2006/relationships/hyperlink" Target="javascript:__doPostBack('ctl00$ContentPlaceHolder1$Grd_tot_detail$ctl02$hypAugust','')" TargetMode="External"/><Relationship Id="rId162" Type="http://schemas.openxmlformats.org/officeDocument/2006/relationships/hyperlink" Target="javascript:__doPostBack('ctl00$ContentPlaceHolder1$Grd_tot_detail$ctl17$hypjuly','')" TargetMode="External"/><Relationship Id="rId183" Type="http://schemas.openxmlformats.org/officeDocument/2006/relationships/hyperlink" Target="javascript:__doPostBack('ctl00$ContentPlaceHolder1$Grd_tot_detail$ctl19$hypjune','')" TargetMode="External"/><Relationship Id="rId218" Type="http://schemas.openxmlformats.org/officeDocument/2006/relationships/hyperlink" Target="javascript:__doPostBack('ctl00$ContentPlaceHolder1$Grd_tot_detail$ctl22$hypAugust','')" TargetMode="External"/><Relationship Id="rId239" Type="http://schemas.openxmlformats.org/officeDocument/2006/relationships/hyperlink" Target="javascript:__doPostBack('ctl00$ContentPlaceHolder1$Grd_tot_detail$ctl24$hypjuly','')" TargetMode="External"/><Relationship Id="rId250" Type="http://schemas.openxmlformats.org/officeDocument/2006/relationships/hyperlink" Target="javascript:__doPostBack('ctl00$ContentPlaceHolder1$Grd_tot_detail$ctl25$hypjuly','')" TargetMode="External"/><Relationship Id="rId271" Type="http://schemas.openxmlformats.org/officeDocument/2006/relationships/hyperlink" Target="javascript:__doPostBack('ctl00$ContentPlaceHolder1$Grd_tot_detail$ctl27$hypjune','')" TargetMode="External"/><Relationship Id="rId292" Type="http://schemas.openxmlformats.org/officeDocument/2006/relationships/hyperlink" Target="javascript:__doPostBack('ctl00$ContentPlaceHolder1$Grd_tot_detail$ctl29$hypmay','')" TargetMode="External"/><Relationship Id="rId306" Type="http://schemas.openxmlformats.org/officeDocument/2006/relationships/hyperlink" Target="javascript:__doPostBack('ctl00$ContentPlaceHolder1$Grd_tot_detail$ctl30$hypAugust','')" TargetMode="External"/><Relationship Id="rId24" Type="http://schemas.openxmlformats.org/officeDocument/2006/relationships/hyperlink" Target="javascript:__doPostBack('ctl00$ContentPlaceHolder1$Grd_tot_detail$ctl04$lbtnfreezsch','')" TargetMode="External"/><Relationship Id="rId45" Type="http://schemas.openxmlformats.org/officeDocument/2006/relationships/hyperlink" Target="javascript:__doPostBack('ctl00$ContentPlaceHolder1$Grd_tot_detail$ctl06$lbtnttlsch','')" TargetMode="External"/><Relationship Id="rId66" Type="http://schemas.openxmlformats.org/officeDocument/2006/relationships/hyperlink" Target="javascript:__doPostBack('ctl00$ContentPlaceHolder1$Grd_tot_detail$ctl07$hypDecember','')" TargetMode="External"/><Relationship Id="rId87" Type="http://schemas.openxmlformats.org/officeDocument/2006/relationships/hyperlink" Target="javascript:__doPostBack('ctl00$ContentPlaceHolder1$Grd_tot_detail$ctl09$hypNovember','')" TargetMode="External"/><Relationship Id="rId110" Type="http://schemas.openxmlformats.org/officeDocument/2006/relationships/hyperlink" Target="javascript:__doPostBack('ctl00$ContentPlaceHolder1$Grd_tot_detail$ctl11$hypDecember','')" TargetMode="External"/><Relationship Id="rId131" Type="http://schemas.openxmlformats.org/officeDocument/2006/relationships/hyperlink" Target="javascript:__doPostBack('ctl00$ContentPlaceHolder1$Grd_tot_detail$ctl13$hypNovember','')" TargetMode="External"/><Relationship Id="rId327" Type="http://schemas.openxmlformats.org/officeDocument/2006/relationships/hyperlink" Target="javascript:__doPostBack('ctl00$ContentPlaceHolder1$Grd_tot_detail$ctl32$hypjuly','')" TargetMode="External"/><Relationship Id="rId348" Type="http://schemas.openxmlformats.org/officeDocument/2006/relationships/hyperlink" Target="javascript:__doPostBack('ctl00$ContentPlaceHolder1$Grd_tot_detail$ctl34$hypjune','')" TargetMode="External"/><Relationship Id="rId152" Type="http://schemas.openxmlformats.org/officeDocument/2006/relationships/hyperlink" Target="javascript:__doPostBack('ctl00$ContentPlaceHolder1$Grd_tot_detail$ctl15$hypOcteber','')" TargetMode="External"/><Relationship Id="rId173" Type="http://schemas.openxmlformats.org/officeDocument/2006/relationships/hyperlink" Target="javascript:__doPostBack('ctl00$ContentPlaceHolder1$Grd_tot_detail$ctl18$hypjuly','')" TargetMode="External"/><Relationship Id="rId194" Type="http://schemas.openxmlformats.org/officeDocument/2006/relationships/hyperlink" Target="javascript:__doPostBack('ctl00$ContentPlaceHolder1$Grd_tot_detail$ctl20$hypjune','')" TargetMode="External"/><Relationship Id="rId208" Type="http://schemas.openxmlformats.org/officeDocument/2006/relationships/hyperlink" Target="javascript:__doPostBack('ctl00$ContentPlaceHolder1$Grd_tot_detail$ctl21$hypSeptember','')" TargetMode="External"/><Relationship Id="rId229" Type="http://schemas.openxmlformats.org/officeDocument/2006/relationships/hyperlink" Target="javascript:__doPostBack('ctl00$ContentPlaceHolder1$Grd_tot_detail$ctl23$hypAugust','')" TargetMode="External"/><Relationship Id="rId240" Type="http://schemas.openxmlformats.org/officeDocument/2006/relationships/hyperlink" Target="javascript:__doPostBack('ctl00$ContentPlaceHolder1$Grd_tot_detail$ctl24$hypAugust','')" TargetMode="External"/><Relationship Id="rId261" Type="http://schemas.openxmlformats.org/officeDocument/2006/relationships/hyperlink" Target="javascript:__doPostBack('ctl00$ContentPlaceHolder1$Grd_tot_detail$ctl26$hypjuly','')" TargetMode="External"/><Relationship Id="rId14" Type="http://schemas.openxmlformats.org/officeDocument/2006/relationships/hyperlink" Target="javascript:__doPostBack('ctl00$ContentPlaceHolder1$Grd_tot_detail$ctl03$hypapr','')" TargetMode="External"/><Relationship Id="rId35" Type="http://schemas.openxmlformats.org/officeDocument/2006/relationships/hyperlink" Target="javascript:__doPostBack('ctl00$ContentPlaceHolder1$Grd_tot_detail$ctl05$lbtnfreezsch','')" TargetMode="External"/><Relationship Id="rId56" Type="http://schemas.openxmlformats.org/officeDocument/2006/relationships/hyperlink" Target="javascript:__doPostBack('ctl00$ContentPlaceHolder1$Grd_tot_detail$ctl07$lbtnttlsch','')" TargetMode="External"/><Relationship Id="rId77" Type="http://schemas.openxmlformats.org/officeDocument/2006/relationships/hyperlink" Target="javascript:__doPostBack('ctl00$ContentPlaceHolder1$Grd_tot_detail$ctl08$hypDecember','')" TargetMode="External"/><Relationship Id="rId100" Type="http://schemas.openxmlformats.org/officeDocument/2006/relationships/hyperlink" Target="javascript:__doPostBack('ctl00$ContentPlaceHolder1$Grd_tot_detail$ctl11$lbtnttlsch','')" TargetMode="External"/><Relationship Id="rId282" Type="http://schemas.openxmlformats.org/officeDocument/2006/relationships/hyperlink" Target="javascript:__doPostBack('ctl00$ContentPlaceHolder1$Grd_tot_detail$ctl28$hypjune','')" TargetMode="External"/><Relationship Id="rId317" Type="http://schemas.openxmlformats.org/officeDocument/2006/relationships/hyperlink" Target="javascript:__doPostBack('ctl00$ContentPlaceHolder1$Grd_tot_detail$ctl31$hypAugust','')" TargetMode="External"/><Relationship Id="rId338" Type="http://schemas.openxmlformats.org/officeDocument/2006/relationships/hyperlink" Target="javascript:__doPostBack('ctl00$ContentPlaceHolder1$Grd_tot_detail$ctl33$hypjuly','')" TargetMode="External"/><Relationship Id="rId359" Type="http://schemas.openxmlformats.org/officeDocument/2006/relationships/hyperlink" Target="javascript:__doPostBack('ctl00$ContentPlaceHolder1$Grd_tot_detail$ctl35$hypjune','')" TargetMode="External"/><Relationship Id="rId8" Type="http://schemas.openxmlformats.org/officeDocument/2006/relationships/hyperlink" Target="javascript:__doPostBack('ctl00$ContentPlaceHolder1$Grd_tot_detail$ctl02$hypSeptember','')" TargetMode="External"/><Relationship Id="rId98" Type="http://schemas.openxmlformats.org/officeDocument/2006/relationships/hyperlink" Target="javascript:__doPostBack('ctl00$ContentPlaceHolder1$Grd_tot_detail$ctl10$hypNovember','')" TargetMode="External"/><Relationship Id="rId121" Type="http://schemas.openxmlformats.org/officeDocument/2006/relationships/hyperlink" Target="javascript:__doPostBack('ctl00$ContentPlaceHolder1$Grd_tot_detail$ctl12$hypDecember','')" TargetMode="External"/><Relationship Id="rId142" Type="http://schemas.openxmlformats.org/officeDocument/2006/relationships/hyperlink" Target="javascript:__doPostBack('ctl00$ContentPlaceHolder1$Grd_tot_detail$ctl14$hypNovember','')" TargetMode="External"/><Relationship Id="rId163" Type="http://schemas.openxmlformats.org/officeDocument/2006/relationships/hyperlink" Target="javascript:__doPostBack('ctl00$ContentPlaceHolder1$Grd_tot_detail$ctl17$hypAugust','')" TargetMode="External"/><Relationship Id="rId184" Type="http://schemas.openxmlformats.org/officeDocument/2006/relationships/hyperlink" Target="javascript:__doPostBack('ctl00$ContentPlaceHolder1$Grd_tot_detail$ctl19$hypjuly','')" TargetMode="External"/><Relationship Id="rId219" Type="http://schemas.openxmlformats.org/officeDocument/2006/relationships/hyperlink" Target="javascript:__doPostBack('ctl00$ContentPlaceHolder1$Grd_tot_detail$ctl22$hypSeptember','')" TargetMode="External"/><Relationship Id="rId230" Type="http://schemas.openxmlformats.org/officeDocument/2006/relationships/hyperlink" Target="javascript:__doPostBack('ctl00$ContentPlaceHolder1$Grd_tot_detail$ctl23$hypSeptember','')" TargetMode="External"/><Relationship Id="rId251" Type="http://schemas.openxmlformats.org/officeDocument/2006/relationships/hyperlink" Target="javascript:__doPostBack('ctl00$ContentPlaceHolder1$Grd_tot_detail$ctl25$hypAugust','')" TargetMode="External"/><Relationship Id="rId25" Type="http://schemas.openxmlformats.org/officeDocument/2006/relationships/hyperlink" Target="javascript:__doPostBack('ctl00$ContentPlaceHolder1$Grd_tot_detail$ctl04$hypapr','')" TargetMode="External"/><Relationship Id="rId46" Type="http://schemas.openxmlformats.org/officeDocument/2006/relationships/hyperlink" Target="javascript:__doPostBack('ctl00$ContentPlaceHolder1$Grd_tot_detail$ctl06$lbtnfreezsch','')" TargetMode="External"/><Relationship Id="rId67" Type="http://schemas.openxmlformats.org/officeDocument/2006/relationships/hyperlink" Target="javascript:__doPostBack('ctl00$ContentPlaceHolder1$Grd_tot_detail$ctl08$lbtnttlsch','')" TargetMode="External"/><Relationship Id="rId272" Type="http://schemas.openxmlformats.org/officeDocument/2006/relationships/hyperlink" Target="javascript:__doPostBack('ctl00$ContentPlaceHolder1$Grd_tot_detail$ctl27$hypjuly','')" TargetMode="External"/><Relationship Id="rId293" Type="http://schemas.openxmlformats.org/officeDocument/2006/relationships/hyperlink" Target="javascript:__doPostBack('ctl00$ContentPlaceHolder1$Grd_tot_detail$ctl29$hypjune','')" TargetMode="External"/><Relationship Id="rId307" Type="http://schemas.openxmlformats.org/officeDocument/2006/relationships/hyperlink" Target="javascript:__doPostBack('ctl00$ContentPlaceHolder1$Grd_tot_detail$ctl30$hypSeptember','')" TargetMode="External"/><Relationship Id="rId328" Type="http://schemas.openxmlformats.org/officeDocument/2006/relationships/hyperlink" Target="javascript:__doPostBack('ctl00$ContentPlaceHolder1$Grd_tot_detail$ctl32$hypAugust','')" TargetMode="External"/><Relationship Id="rId349" Type="http://schemas.openxmlformats.org/officeDocument/2006/relationships/hyperlink" Target="javascript:__doPostBack('ctl00$ContentPlaceHolder1$Grd_tot_detail$ctl34$hypjuly','')" TargetMode="External"/><Relationship Id="rId88" Type="http://schemas.openxmlformats.org/officeDocument/2006/relationships/hyperlink" Target="javascript:__doPostBack('ctl00$ContentPlaceHolder1$Grd_tot_detail$ctl09$hypDecember','')" TargetMode="External"/><Relationship Id="rId111" Type="http://schemas.openxmlformats.org/officeDocument/2006/relationships/hyperlink" Target="javascript:__doPostBack('ctl00$ContentPlaceHolder1$Grd_tot_detail$ctl12$lbtnttlsch','')" TargetMode="External"/><Relationship Id="rId132" Type="http://schemas.openxmlformats.org/officeDocument/2006/relationships/hyperlink" Target="javascript:__doPostBack('ctl00$ContentPlaceHolder1$Grd_tot_detail$ctl13$hypDecember','')" TargetMode="External"/><Relationship Id="rId153" Type="http://schemas.openxmlformats.org/officeDocument/2006/relationships/hyperlink" Target="javascript:__doPostBack('ctl00$ContentPlaceHolder1$Grd_tot_detail$ctl15$hypNovember','')" TargetMode="External"/><Relationship Id="rId174" Type="http://schemas.openxmlformats.org/officeDocument/2006/relationships/hyperlink" Target="javascript:__doPostBack('ctl00$ContentPlaceHolder1$Grd_tot_detail$ctl18$hypAugust','')" TargetMode="External"/><Relationship Id="rId195" Type="http://schemas.openxmlformats.org/officeDocument/2006/relationships/hyperlink" Target="javascript:__doPostBack('ctl00$ContentPlaceHolder1$Grd_tot_detail$ctl20$hypjuly','')" TargetMode="External"/><Relationship Id="rId209" Type="http://schemas.openxmlformats.org/officeDocument/2006/relationships/hyperlink" Target="javascript:__doPostBack('ctl00$ContentPlaceHolder1$Grd_tot_detail$ctl21$hypOcteber','')" TargetMode="External"/><Relationship Id="rId360" Type="http://schemas.openxmlformats.org/officeDocument/2006/relationships/hyperlink" Target="javascript:__doPostBack('ctl00$ContentPlaceHolder1$Grd_tot_detail$ctl35$hypjuly','')" TargetMode="External"/><Relationship Id="rId220" Type="http://schemas.openxmlformats.org/officeDocument/2006/relationships/hyperlink" Target="javascript:__doPostBack('ctl00$ContentPlaceHolder1$Grd_tot_detail$ctl22$hypOcteber','')" TargetMode="External"/><Relationship Id="rId241" Type="http://schemas.openxmlformats.org/officeDocument/2006/relationships/hyperlink" Target="javascript:__doPostBack('ctl00$ContentPlaceHolder1$Grd_tot_detail$ctl24$hypSeptember','')" TargetMode="External"/><Relationship Id="rId15" Type="http://schemas.openxmlformats.org/officeDocument/2006/relationships/hyperlink" Target="javascript:__doPostBack('ctl00$ContentPlaceHolder1$Grd_tot_detail$ctl03$hypmay','')" TargetMode="External"/><Relationship Id="rId36" Type="http://schemas.openxmlformats.org/officeDocument/2006/relationships/hyperlink" Target="javascript:__doPostBack('ctl00$ContentPlaceHolder1$Grd_tot_detail$ctl05$hypapr','')" TargetMode="External"/><Relationship Id="rId57" Type="http://schemas.openxmlformats.org/officeDocument/2006/relationships/hyperlink" Target="javascript:__doPostBack('ctl00$ContentPlaceHolder1$Grd_tot_detail$ctl07$lbtnfreezsch','')" TargetMode="External"/><Relationship Id="rId262" Type="http://schemas.openxmlformats.org/officeDocument/2006/relationships/hyperlink" Target="javascript:__doPostBack('ctl00$ContentPlaceHolder1$Grd_tot_detail$ctl26$hypAugust','')" TargetMode="External"/><Relationship Id="rId283" Type="http://schemas.openxmlformats.org/officeDocument/2006/relationships/hyperlink" Target="javascript:__doPostBack('ctl00$ContentPlaceHolder1$Grd_tot_detail$ctl28$hypjuly','')" TargetMode="External"/><Relationship Id="rId318" Type="http://schemas.openxmlformats.org/officeDocument/2006/relationships/hyperlink" Target="javascript:__doPostBack('ctl00$ContentPlaceHolder1$Grd_tot_detail$ctl31$hypSeptember','')" TargetMode="External"/><Relationship Id="rId339" Type="http://schemas.openxmlformats.org/officeDocument/2006/relationships/hyperlink" Target="javascript:__doPostBack('ctl00$ContentPlaceHolder1$Grd_tot_detail$ctl33$hypAugust','')" TargetMode="External"/><Relationship Id="rId10" Type="http://schemas.openxmlformats.org/officeDocument/2006/relationships/hyperlink" Target="javascript:__doPostBack('ctl00$ContentPlaceHolder1$Grd_tot_detail$ctl02$hypNovember','')" TargetMode="External"/><Relationship Id="rId31" Type="http://schemas.openxmlformats.org/officeDocument/2006/relationships/hyperlink" Target="javascript:__doPostBack('ctl00$ContentPlaceHolder1$Grd_tot_detail$ctl04$hypOcteber','')" TargetMode="External"/><Relationship Id="rId52" Type="http://schemas.openxmlformats.org/officeDocument/2006/relationships/hyperlink" Target="javascript:__doPostBack('ctl00$ContentPlaceHolder1$Grd_tot_detail$ctl06$hypSeptember','')" TargetMode="External"/><Relationship Id="rId73" Type="http://schemas.openxmlformats.org/officeDocument/2006/relationships/hyperlink" Target="javascript:__doPostBack('ctl00$ContentPlaceHolder1$Grd_tot_detail$ctl08$hypAugust','')" TargetMode="External"/><Relationship Id="rId78" Type="http://schemas.openxmlformats.org/officeDocument/2006/relationships/hyperlink" Target="javascript:__doPostBack('ctl00$ContentPlaceHolder1$Grd_tot_detail$ctl09$lbtnttlsch','')" TargetMode="External"/><Relationship Id="rId94" Type="http://schemas.openxmlformats.org/officeDocument/2006/relationships/hyperlink" Target="javascript:__doPostBack('ctl00$ContentPlaceHolder1$Grd_tot_detail$ctl10$hypjuly','')" TargetMode="External"/><Relationship Id="rId99" Type="http://schemas.openxmlformats.org/officeDocument/2006/relationships/hyperlink" Target="javascript:__doPostBack('ctl00$ContentPlaceHolder1$Grd_tot_detail$ctl10$hypDecember','')" TargetMode="External"/><Relationship Id="rId101" Type="http://schemas.openxmlformats.org/officeDocument/2006/relationships/hyperlink" Target="javascript:__doPostBack('ctl00$ContentPlaceHolder1$Grd_tot_detail$ctl11$lbtnfreezsch','')" TargetMode="External"/><Relationship Id="rId122" Type="http://schemas.openxmlformats.org/officeDocument/2006/relationships/hyperlink" Target="javascript:__doPostBack('ctl00$ContentPlaceHolder1$Grd_tot_detail$ctl13$lbtnttlsch','')" TargetMode="External"/><Relationship Id="rId143" Type="http://schemas.openxmlformats.org/officeDocument/2006/relationships/hyperlink" Target="javascript:__doPostBack('ctl00$ContentPlaceHolder1$Grd_tot_detail$ctl14$hypDecember','')" TargetMode="External"/><Relationship Id="rId148" Type="http://schemas.openxmlformats.org/officeDocument/2006/relationships/hyperlink" Target="javascript:__doPostBack('ctl00$ContentPlaceHolder1$Grd_tot_detail$ctl15$hypjune','')" TargetMode="External"/><Relationship Id="rId164" Type="http://schemas.openxmlformats.org/officeDocument/2006/relationships/hyperlink" Target="javascript:__doPostBack('ctl00$ContentPlaceHolder1$Grd_tot_detail$ctl17$hypSeptember','')" TargetMode="External"/><Relationship Id="rId169" Type="http://schemas.openxmlformats.org/officeDocument/2006/relationships/hyperlink" Target="javascript:__doPostBack('ctl00$ContentPlaceHolder1$Grd_tot_detail$ctl18$lbtnfreezsch','')" TargetMode="External"/><Relationship Id="rId185" Type="http://schemas.openxmlformats.org/officeDocument/2006/relationships/hyperlink" Target="javascript:__doPostBack('ctl00$ContentPlaceHolder1$Grd_tot_detail$ctl19$hypAugust','')" TargetMode="External"/><Relationship Id="rId334" Type="http://schemas.openxmlformats.org/officeDocument/2006/relationships/hyperlink" Target="javascript:__doPostBack('ctl00$ContentPlaceHolder1$Grd_tot_detail$ctl33$lbtnfreezsch','')" TargetMode="External"/><Relationship Id="rId350" Type="http://schemas.openxmlformats.org/officeDocument/2006/relationships/hyperlink" Target="javascript:__doPostBack('ctl00$ContentPlaceHolder1$Grd_tot_detail$ctl34$hypAugust','')" TargetMode="External"/><Relationship Id="rId355" Type="http://schemas.openxmlformats.org/officeDocument/2006/relationships/hyperlink" Target="javascript:__doPostBack('ctl00$ContentPlaceHolder1$Grd_tot_detail$ctl35$lbtnttlsch','')" TargetMode="External"/><Relationship Id="rId4" Type="http://schemas.openxmlformats.org/officeDocument/2006/relationships/hyperlink" Target="javascript:__doPostBack('ctl00$ContentPlaceHolder1$Grd_tot_detail$ctl02$hypmay','')" TargetMode="External"/><Relationship Id="rId9" Type="http://schemas.openxmlformats.org/officeDocument/2006/relationships/hyperlink" Target="javascript:__doPostBack('ctl00$ContentPlaceHolder1$Grd_tot_detail$ctl02$hypOcteber','')" TargetMode="External"/><Relationship Id="rId180" Type="http://schemas.openxmlformats.org/officeDocument/2006/relationships/hyperlink" Target="javascript:__doPostBack('ctl00$ContentPlaceHolder1$Grd_tot_detail$ctl19$lbtnfreezsch','')" TargetMode="External"/><Relationship Id="rId210" Type="http://schemas.openxmlformats.org/officeDocument/2006/relationships/hyperlink" Target="javascript:__doPostBack('ctl00$ContentPlaceHolder1$Grd_tot_detail$ctl21$hypNovember','')" TargetMode="External"/><Relationship Id="rId215" Type="http://schemas.openxmlformats.org/officeDocument/2006/relationships/hyperlink" Target="javascript:__doPostBack('ctl00$ContentPlaceHolder1$Grd_tot_detail$ctl22$hypmay','')" TargetMode="External"/><Relationship Id="rId236" Type="http://schemas.openxmlformats.org/officeDocument/2006/relationships/hyperlink" Target="javascript:__doPostBack('ctl00$ContentPlaceHolder1$Grd_tot_detail$ctl24$hypapr','')" TargetMode="External"/><Relationship Id="rId257" Type="http://schemas.openxmlformats.org/officeDocument/2006/relationships/hyperlink" Target="javascript:__doPostBack('ctl00$ContentPlaceHolder1$Grd_tot_detail$ctl26$lbtnfreezsch','')" TargetMode="External"/><Relationship Id="rId278" Type="http://schemas.openxmlformats.org/officeDocument/2006/relationships/hyperlink" Target="javascript:__doPostBack('ctl00$ContentPlaceHolder1$Grd_tot_detail$ctl28$lbtnttlsch','')" TargetMode="External"/><Relationship Id="rId26" Type="http://schemas.openxmlformats.org/officeDocument/2006/relationships/hyperlink" Target="javascript:__doPostBack('ctl00$ContentPlaceHolder1$Grd_tot_detail$ctl04$hypmay','')" TargetMode="External"/><Relationship Id="rId231" Type="http://schemas.openxmlformats.org/officeDocument/2006/relationships/hyperlink" Target="javascript:__doPostBack('ctl00$ContentPlaceHolder1$Grd_tot_detail$ctl23$hypOcteber','')" TargetMode="External"/><Relationship Id="rId252" Type="http://schemas.openxmlformats.org/officeDocument/2006/relationships/hyperlink" Target="javascript:__doPostBack('ctl00$ContentPlaceHolder1$Grd_tot_detail$ctl25$hypSeptember','')" TargetMode="External"/><Relationship Id="rId273" Type="http://schemas.openxmlformats.org/officeDocument/2006/relationships/hyperlink" Target="javascript:__doPostBack('ctl00$ContentPlaceHolder1$Grd_tot_detail$ctl27$hypAugust','')" TargetMode="External"/><Relationship Id="rId294" Type="http://schemas.openxmlformats.org/officeDocument/2006/relationships/hyperlink" Target="javascript:__doPostBack('ctl00$ContentPlaceHolder1$Grd_tot_detail$ctl29$hypjuly','')" TargetMode="External"/><Relationship Id="rId308" Type="http://schemas.openxmlformats.org/officeDocument/2006/relationships/hyperlink" Target="javascript:__doPostBack('ctl00$ContentPlaceHolder1$Grd_tot_detail$ctl30$hypOcteber','')" TargetMode="External"/><Relationship Id="rId329" Type="http://schemas.openxmlformats.org/officeDocument/2006/relationships/hyperlink" Target="javascript:__doPostBack('ctl00$ContentPlaceHolder1$Grd_tot_detail$ctl32$hypSeptember','')" TargetMode="External"/><Relationship Id="rId47" Type="http://schemas.openxmlformats.org/officeDocument/2006/relationships/hyperlink" Target="javascript:__doPostBack('ctl00$ContentPlaceHolder1$Grd_tot_detail$ctl06$hypapr','')" TargetMode="External"/><Relationship Id="rId68" Type="http://schemas.openxmlformats.org/officeDocument/2006/relationships/hyperlink" Target="javascript:__doPostBack('ctl00$ContentPlaceHolder1$Grd_tot_detail$ctl08$lbtnfreezsch','')" TargetMode="External"/><Relationship Id="rId89" Type="http://schemas.openxmlformats.org/officeDocument/2006/relationships/hyperlink" Target="javascript:__doPostBack('ctl00$ContentPlaceHolder1$Grd_tot_detail$ctl10$lbtnttlsch','')" TargetMode="External"/><Relationship Id="rId112" Type="http://schemas.openxmlformats.org/officeDocument/2006/relationships/hyperlink" Target="javascript:__doPostBack('ctl00$ContentPlaceHolder1$Grd_tot_detail$ctl12$lbtnfreezsch','')" TargetMode="External"/><Relationship Id="rId133" Type="http://schemas.openxmlformats.org/officeDocument/2006/relationships/hyperlink" Target="javascript:__doPostBack('ctl00$ContentPlaceHolder1$Grd_tot_detail$ctl14$lbtnttlsch','')" TargetMode="External"/><Relationship Id="rId154" Type="http://schemas.openxmlformats.org/officeDocument/2006/relationships/hyperlink" Target="javascript:__doPostBack('ctl00$ContentPlaceHolder1$Grd_tot_detail$ctl15$hypDecember','')" TargetMode="External"/><Relationship Id="rId175" Type="http://schemas.openxmlformats.org/officeDocument/2006/relationships/hyperlink" Target="javascript:__doPostBack('ctl00$ContentPlaceHolder1$Grd_tot_detail$ctl18$hypSeptember','')" TargetMode="External"/><Relationship Id="rId340" Type="http://schemas.openxmlformats.org/officeDocument/2006/relationships/hyperlink" Target="javascript:__doPostBack('ctl00$ContentPlaceHolder1$Grd_tot_detail$ctl33$hypSeptember','')" TargetMode="External"/><Relationship Id="rId361" Type="http://schemas.openxmlformats.org/officeDocument/2006/relationships/hyperlink" Target="javascript:__doPostBack('ctl00$ContentPlaceHolder1$Grd_tot_detail$ctl35$hypAugust','')" TargetMode="External"/><Relationship Id="rId196" Type="http://schemas.openxmlformats.org/officeDocument/2006/relationships/hyperlink" Target="javascript:__doPostBack('ctl00$ContentPlaceHolder1$Grd_tot_detail$ctl20$hypAugust','')" TargetMode="External"/><Relationship Id="rId200" Type="http://schemas.openxmlformats.org/officeDocument/2006/relationships/hyperlink" Target="javascript:__doPostBack('ctl00$ContentPlaceHolder1$Grd_tot_detail$ctl20$hypDecember','')" TargetMode="External"/><Relationship Id="rId16" Type="http://schemas.openxmlformats.org/officeDocument/2006/relationships/hyperlink" Target="javascript:__doPostBack('ctl00$ContentPlaceHolder1$Grd_tot_detail$ctl03$hypjune','')" TargetMode="External"/><Relationship Id="rId221" Type="http://schemas.openxmlformats.org/officeDocument/2006/relationships/hyperlink" Target="javascript:__doPostBack('ctl00$ContentPlaceHolder1$Grd_tot_detail$ctl22$hypNovember','')" TargetMode="External"/><Relationship Id="rId242" Type="http://schemas.openxmlformats.org/officeDocument/2006/relationships/hyperlink" Target="javascript:__doPostBack('ctl00$ContentPlaceHolder1$Grd_tot_detail$ctl24$hypOcteber','')" TargetMode="External"/><Relationship Id="rId263" Type="http://schemas.openxmlformats.org/officeDocument/2006/relationships/hyperlink" Target="javascript:__doPostBack('ctl00$ContentPlaceHolder1$Grd_tot_detail$ctl26$hypSeptember','')" TargetMode="External"/><Relationship Id="rId284" Type="http://schemas.openxmlformats.org/officeDocument/2006/relationships/hyperlink" Target="javascript:__doPostBack('ctl00$ContentPlaceHolder1$Grd_tot_detail$ctl28$hypAugust','')" TargetMode="External"/><Relationship Id="rId319" Type="http://schemas.openxmlformats.org/officeDocument/2006/relationships/hyperlink" Target="javascript:__doPostBack('ctl00$ContentPlaceHolder1$Grd_tot_detail$ctl31$hypOcteber','')" TargetMode="External"/><Relationship Id="rId37" Type="http://schemas.openxmlformats.org/officeDocument/2006/relationships/hyperlink" Target="javascript:__doPostBack('ctl00$ContentPlaceHolder1$Grd_tot_detail$ctl05$hypmay','')" TargetMode="External"/><Relationship Id="rId58" Type="http://schemas.openxmlformats.org/officeDocument/2006/relationships/hyperlink" Target="javascript:__doPostBack('ctl00$ContentPlaceHolder1$Grd_tot_detail$ctl07$hypapr','')" TargetMode="External"/><Relationship Id="rId79" Type="http://schemas.openxmlformats.org/officeDocument/2006/relationships/hyperlink" Target="javascript:__doPostBack('ctl00$ContentPlaceHolder1$Grd_tot_detail$ctl09$lbtnfreezsch','')" TargetMode="External"/><Relationship Id="rId102" Type="http://schemas.openxmlformats.org/officeDocument/2006/relationships/hyperlink" Target="javascript:__doPostBack('ctl00$ContentPlaceHolder1$Grd_tot_detail$ctl11$hypapr','')" TargetMode="External"/><Relationship Id="rId123" Type="http://schemas.openxmlformats.org/officeDocument/2006/relationships/hyperlink" Target="javascript:__doPostBack('ctl00$ContentPlaceHolder1$Grd_tot_detail$ctl13$lbtnfreezsch','')" TargetMode="External"/><Relationship Id="rId144" Type="http://schemas.openxmlformats.org/officeDocument/2006/relationships/hyperlink" Target="javascript:__doPostBack('ctl00$ContentPlaceHolder1$Grd_tot_detail$ctl15$lbtnttlsch','')" TargetMode="External"/><Relationship Id="rId330" Type="http://schemas.openxmlformats.org/officeDocument/2006/relationships/hyperlink" Target="javascript:__doPostBack('ctl00$ContentPlaceHolder1$Grd_tot_detail$ctl32$hypOcteber','')" TargetMode="External"/><Relationship Id="rId90" Type="http://schemas.openxmlformats.org/officeDocument/2006/relationships/hyperlink" Target="javascript:__doPostBack('ctl00$ContentPlaceHolder1$Grd_tot_detail$ctl10$lbtnfreezsch','')" TargetMode="External"/><Relationship Id="rId165" Type="http://schemas.openxmlformats.org/officeDocument/2006/relationships/hyperlink" Target="javascript:__doPostBack('ctl00$ContentPlaceHolder1$Grd_tot_detail$ctl17$hypOcteber','')" TargetMode="External"/><Relationship Id="rId186" Type="http://schemas.openxmlformats.org/officeDocument/2006/relationships/hyperlink" Target="javascript:__doPostBack('ctl00$ContentPlaceHolder1$Grd_tot_detail$ctl19$hypSeptember','')" TargetMode="External"/><Relationship Id="rId351" Type="http://schemas.openxmlformats.org/officeDocument/2006/relationships/hyperlink" Target="javascript:__doPostBack('ctl00$ContentPlaceHolder1$Grd_tot_detail$ctl34$hypSeptember','')" TargetMode="External"/><Relationship Id="rId211" Type="http://schemas.openxmlformats.org/officeDocument/2006/relationships/hyperlink" Target="javascript:__doPostBack('ctl00$ContentPlaceHolder1$Grd_tot_detail$ctl21$hypDecember','')" TargetMode="External"/><Relationship Id="rId232" Type="http://schemas.openxmlformats.org/officeDocument/2006/relationships/hyperlink" Target="javascript:__doPostBack('ctl00$ContentPlaceHolder1$Grd_tot_detail$ctl23$hypNovember','')" TargetMode="External"/><Relationship Id="rId253" Type="http://schemas.openxmlformats.org/officeDocument/2006/relationships/hyperlink" Target="javascript:__doPostBack('ctl00$ContentPlaceHolder1$Grd_tot_detail$ctl25$hypOcteber','')" TargetMode="External"/><Relationship Id="rId274" Type="http://schemas.openxmlformats.org/officeDocument/2006/relationships/hyperlink" Target="javascript:__doPostBack('ctl00$ContentPlaceHolder1$Grd_tot_detail$ctl27$hypSeptember','')" TargetMode="External"/><Relationship Id="rId295" Type="http://schemas.openxmlformats.org/officeDocument/2006/relationships/hyperlink" Target="javascript:__doPostBack('ctl00$ContentPlaceHolder1$Grd_tot_detail$ctl29$hypAugust','')" TargetMode="External"/><Relationship Id="rId309" Type="http://schemas.openxmlformats.org/officeDocument/2006/relationships/hyperlink" Target="javascript:__doPostBack('ctl00$ContentPlaceHolder1$Grd_tot_detail$ctl30$hypNovember','')" TargetMode="External"/><Relationship Id="rId27" Type="http://schemas.openxmlformats.org/officeDocument/2006/relationships/hyperlink" Target="javascript:__doPostBack('ctl00$ContentPlaceHolder1$Grd_tot_detail$ctl04$hypjune','')" TargetMode="External"/><Relationship Id="rId48" Type="http://schemas.openxmlformats.org/officeDocument/2006/relationships/hyperlink" Target="javascript:__doPostBack('ctl00$ContentPlaceHolder1$Grd_tot_detail$ctl06$hypmay','')" TargetMode="External"/><Relationship Id="rId69" Type="http://schemas.openxmlformats.org/officeDocument/2006/relationships/hyperlink" Target="javascript:__doPostBack('ctl00$ContentPlaceHolder1$Grd_tot_detail$ctl08$hypapr','')" TargetMode="External"/><Relationship Id="rId113" Type="http://schemas.openxmlformats.org/officeDocument/2006/relationships/hyperlink" Target="javascript:__doPostBack('ctl00$ContentPlaceHolder1$Grd_tot_detail$ctl12$hypapr','')" TargetMode="External"/><Relationship Id="rId134" Type="http://schemas.openxmlformats.org/officeDocument/2006/relationships/hyperlink" Target="javascript:__doPostBack('ctl00$ContentPlaceHolder1$Grd_tot_detail$ctl14$lbtnfreezsch','')" TargetMode="External"/><Relationship Id="rId320" Type="http://schemas.openxmlformats.org/officeDocument/2006/relationships/hyperlink" Target="javascript:__doPostBack('ctl00$ContentPlaceHolder1$Grd_tot_detail$ctl31$hypNovember','')" TargetMode="External"/><Relationship Id="rId80" Type="http://schemas.openxmlformats.org/officeDocument/2006/relationships/hyperlink" Target="javascript:__doPostBack('ctl00$ContentPlaceHolder1$Grd_tot_detail$ctl09$hypapr','')" TargetMode="External"/><Relationship Id="rId155" Type="http://schemas.openxmlformats.org/officeDocument/2006/relationships/hyperlink" Target="javascript:__doPostBack('ctl00$ContentPlaceHolder1$Grd_tot_detail$ctl16$lbtnttlsch','')" TargetMode="External"/><Relationship Id="rId176" Type="http://schemas.openxmlformats.org/officeDocument/2006/relationships/hyperlink" Target="javascript:__doPostBack('ctl00$ContentPlaceHolder1$Grd_tot_detail$ctl18$hypOcteber','')" TargetMode="External"/><Relationship Id="rId197" Type="http://schemas.openxmlformats.org/officeDocument/2006/relationships/hyperlink" Target="javascript:__doPostBack('ctl00$ContentPlaceHolder1$Grd_tot_detail$ctl20$hypSeptember','')" TargetMode="External"/><Relationship Id="rId341" Type="http://schemas.openxmlformats.org/officeDocument/2006/relationships/hyperlink" Target="javascript:__doPostBack('ctl00$ContentPlaceHolder1$Grd_tot_detail$ctl33$hypOcteber','')" TargetMode="External"/><Relationship Id="rId362" Type="http://schemas.openxmlformats.org/officeDocument/2006/relationships/hyperlink" Target="javascript:__doPostBack('ctl00$ContentPlaceHolder1$Grd_tot_detail$ctl35$hypSeptember','')" TargetMode="External"/><Relationship Id="rId201" Type="http://schemas.openxmlformats.org/officeDocument/2006/relationships/hyperlink" Target="javascript:__doPostBack('ctl00$ContentPlaceHolder1$Grd_tot_detail$ctl21$lbtnttlsch','')" TargetMode="External"/><Relationship Id="rId222" Type="http://schemas.openxmlformats.org/officeDocument/2006/relationships/hyperlink" Target="javascript:__doPostBack('ctl00$ContentPlaceHolder1$Grd_tot_detail$ctl22$hypDecember','')" TargetMode="External"/><Relationship Id="rId243" Type="http://schemas.openxmlformats.org/officeDocument/2006/relationships/hyperlink" Target="javascript:__doPostBack('ctl00$ContentPlaceHolder1$Grd_tot_detail$ctl24$hypNovember','')" TargetMode="External"/><Relationship Id="rId264" Type="http://schemas.openxmlformats.org/officeDocument/2006/relationships/hyperlink" Target="javascript:__doPostBack('ctl00$ContentPlaceHolder1$Grd_tot_detail$ctl26$hypOcteber','')" TargetMode="External"/><Relationship Id="rId285" Type="http://schemas.openxmlformats.org/officeDocument/2006/relationships/hyperlink" Target="javascript:__doPostBack('ctl00$ContentPlaceHolder1$Grd_tot_detail$ctl28$hypSeptember','')" TargetMode="External"/><Relationship Id="rId17" Type="http://schemas.openxmlformats.org/officeDocument/2006/relationships/hyperlink" Target="javascript:__doPostBack('ctl00$ContentPlaceHolder1$Grd_tot_detail$ctl03$hypjuly','')" TargetMode="External"/><Relationship Id="rId38" Type="http://schemas.openxmlformats.org/officeDocument/2006/relationships/hyperlink" Target="javascript:__doPostBack('ctl00$ContentPlaceHolder1$Grd_tot_detail$ctl05$hypjune','')" TargetMode="External"/><Relationship Id="rId59" Type="http://schemas.openxmlformats.org/officeDocument/2006/relationships/hyperlink" Target="javascript:__doPostBack('ctl00$ContentPlaceHolder1$Grd_tot_detail$ctl07$hypmay','')" TargetMode="External"/><Relationship Id="rId103" Type="http://schemas.openxmlformats.org/officeDocument/2006/relationships/hyperlink" Target="javascript:__doPostBack('ctl00$ContentPlaceHolder1$Grd_tot_detail$ctl11$hypmay','')" TargetMode="External"/><Relationship Id="rId124" Type="http://schemas.openxmlformats.org/officeDocument/2006/relationships/hyperlink" Target="javascript:__doPostBack('ctl00$ContentPlaceHolder1$Grd_tot_detail$ctl13$hypapr','')" TargetMode="External"/><Relationship Id="rId310" Type="http://schemas.openxmlformats.org/officeDocument/2006/relationships/hyperlink" Target="javascript:__doPostBack('ctl00$ContentPlaceHolder1$Grd_tot_detail$ctl30$hypDecember','')" TargetMode="External"/><Relationship Id="rId70" Type="http://schemas.openxmlformats.org/officeDocument/2006/relationships/hyperlink" Target="javascript:__doPostBack('ctl00$ContentPlaceHolder1$Grd_tot_detail$ctl08$hypmay','')" TargetMode="External"/><Relationship Id="rId91" Type="http://schemas.openxmlformats.org/officeDocument/2006/relationships/hyperlink" Target="javascript:__doPostBack('ctl00$ContentPlaceHolder1$Grd_tot_detail$ctl10$hypapr','')" TargetMode="External"/><Relationship Id="rId145" Type="http://schemas.openxmlformats.org/officeDocument/2006/relationships/hyperlink" Target="javascript:__doPostBack('ctl00$ContentPlaceHolder1$Grd_tot_detail$ctl15$lbtnfreezsch','')" TargetMode="External"/><Relationship Id="rId166" Type="http://schemas.openxmlformats.org/officeDocument/2006/relationships/hyperlink" Target="javascript:__doPostBack('ctl00$ContentPlaceHolder1$Grd_tot_detail$ctl17$hypNovember','')" TargetMode="External"/><Relationship Id="rId187" Type="http://schemas.openxmlformats.org/officeDocument/2006/relationships/hyperlink" Target="javascript:__doPostBack('ctl00$ContentPlaceHolder1$Grd_tot_detail$ctl19$hypOcteber','')" TargetMode="External"/><Relationship Id="rId331" Type="http://schemas.openxmlformats.org/officeDocument/2006/relationships/hyperlink" Target="javascript:__doPostBack('ctl00$ContentPlaceHolder1$Grd_tot_detail$ctl32$hypNovember','')" TargetMode="External"/><Relationship Id="rId352" Type="http://schemas.openxmlformats.org/officeDocument/2006/relationships/hyperlink" Target="javascript:__doPostBack('ctl00$ContentPlaceHolder1$Grd_tot_detail$ctl34$hypOcteber','')" TargetMode="External"/><Relationship Id="rId1" Type="http://schemas.openxmlformats.org/officeDocument/2006/relationships/hyperlink" Target="javascript:__doPostBack('ctl00$ContentPlaceHolder1$Grd_tot_detail$ctl02$lbtnttlsch','')" TargetMode="External"/><Relationship Id="rId212" Type="http://schemas.openxmlformats.org/officeDocument/2006/relationships/hyperlink" Target="javascript:__doPostBack('ctl00$ContentPlaceHolder1$Grd_tot_detail$ctl22$lbtnttlsch','')" TargetMode="External"/><Relationship Id="rId233" Type="http://schemas.openxmlformats.org/officeDocument/2006/relationships/hyperlink" Target="javascript:__doPostBack('ctl00$ContentPlaceHolder1$Grd_tot_detail$ctl23$hypDecember','')" TargetMode="External"/><Relationship Id="rId254" Type="http://schemas.openxmlformats.org/officeDocument/2006/relationships/hyperlink" Target="javascript:__doPostBack('ctl00$ContentPlaceHolder1$Grd_tot_detail$ctl25$hypNovember','')" TargetMode="External"/><Relationship Id="rId28" Type="http://schemas.openxmlformats.org/officeDocument/2006/relationships/hyperlink" Target="javascript:__doPostBack('ctl00$ContentPlaceHolder1$Grd_tot_detail$ctl04$hypjuly','')" TargetMode="External"/><Relationship Id="rId49" Type="http://schemas.openxmlformats.org/officeDocument/2006/relationships/hyperlink" Target="javascript:__doPostBack('ctl00$ContentPlaceHolder1$Grd_tot_detail$ctl06$hypjune','')" TargetMode="External"/><Relationship Id="rId114" Type="http://schemas.openxmlformats.org/officeDocument/2006/relationships/hyperlink" Target="javascript:__doPostBack('ctl00$ContentPlaceHolder1$Grd_tot_detail$ctl12$hypmay','')" TargetMode="External"/><Relationship Id="rId275" Type="http://schemas.openxmlformats.org/officeDocument/2006/relationships/hyperlink" Target="javascript:__doPostBack('ctl00$ContentPlaceHolder1$Grd_tot_detail$ctl27$hypOcteber','')" TargetMode="External"/><Relationship Id="rId296" Type="http://schemas.openxmlformats.org/officeDocument/2006/relationships/hyperlink" Target="javascript:__doPostBack('ctl00$ContentPlaceHolder1$Grd_tot_detail$ctl29$hypSeptember','')" TargetMode="External"/><Relationship Id="rId300" Type="http://schemas.openxmlformats.org/officeDocument/2006/relationships/hyperlink" Target="javascript:__doPostBack('ctl00$ContentPlaceHolder1$Grd_tot_detail$ctl30$lbtnttlsch','')" TargetMode="External"/><Relationship Id="rId60" Type="http://schemas.openxmlformats.org/officeDocument/2006/relationships/hyperlink" Target="javascript:__doPostBack('ctl00$ContentPlaceHolder1$Grd_tot_detail$ctl07$hypjune','')" TargetMode="External"/><Relationship Id="rId81" Type="http://schemas.openxmlformats.org/officeDocument/2006/relationships/hyperlink" Target="javascript:__doPostBack('ctl00$ContentPlaceHolder1$Grd_tot_detail$ctl09$hypmay','')" TargetMode="External"/><Relationship Id="rId135" Type="http://schemas.openxmlformats.org/officeDocument/2006/relationships/hyperlink" Target="javascript:__doPostBack('ctl00$ContentPlaceHolder1$Grd_tot_detail$ctl14$hypapr','')" TargetMode="External"/><Relationship Id="rId156" Type="http://schemas.openxmlformats.org/officeDocument/2006/relationships/hyperlink" Target="javascript:__doPostBack('ctl00$ContentPlaceHolder1$Grd_tot_detail$ctl16$lbtnfreezsch','')" TargetMode="External"/><Relationship Id="rId177" Type="http://schemas.openxmlformats.org/officeDocument/2006/relationships/hyperlink" Target="javascript:__doPostBack('ctl00$ContentPlaceHolder1$Grd_tot_detail$ctl18$hypNovember','')" TargetMode="External"/><Relationship Id="rId198" Type="http://schemas.openxmlformats.org/officeDocument/2006/relationships/hyperlink" Target="javascript:__doPostBack('ctl00$ContentPlaceHolder1$Grd_tot_detail$ctl20$hypOcteber','')" TargetMode="External"/><Relationship Id="rId321" Type="http://schemas.openxmlformats.org/officeDocument/2006/relationships/hyperlink" Target="javascript:__doPostBack('ctl00$ContentPlaceHolder1$Grd_tot_detail$ctl31$hypDecember','')" TargetMode="External"/><Relationship Id="rId342" Type="http://schemas.openxmlformats.org/officeDocument/2006/relationships/hyperlink" Target="javascript:__doPostBack('ctl00$ContentPlaceHolder1$Grd_tot_detail$ctl33$hypNovember','')" TargetMode="External"/><Relationship Id="rId363" Type="http://schemas.openxmlformats.org/officeDocument/2006/relationships/hyperlink" Target="javascript:__doPostBack('ctl00$ContentPlaceHolder1$Grd_tot_detail$ctl35$hypOcteber','')" TargetMode="External"/><Relationship Id="rId202" Type="http://schemas.openxmlformats.org/officeDocument/2006/relationships/hyperlink" Target="javascript:__doPostBack('ctl00$ContentPlaceHolder1$Grd_tot_detail$ctl21$lbtnfreezsch','')" TargetMode="External"/><Relationship Id="rId223" Type="http://schemas.openxmlformats.org/officeDocument/2006/relationships/hyperlink" Target="javascript:__doPostBack('ctl00$ContentPlaceHolder1$Grd_tot_detail$ctl23$lbtnttlsch','')" TargetMode="External"/><Relationship Id="rId244" Type="http://schemas.openxmlformats.org/officeDocument/2006/relationships/hyperlink" Target="javascript:__doPostBack('ctl00$ContentPlaceHolder1$Grd_tot_detail$ctl24$hypDecember','')" TargetMode="External"/><Relationship Id="rId18" Type="http://schemas.openxmlformats.org/officeDocument/2006/relationships/hyperlink" Target="javascript:__doPostBack('ctl00$ContentPlaceHolder1$Grd_tot_detail$ctl03$hypAugust','')" TargetMode="External"/><Relationship Id="rId39" Type="http://schemas.openxmlformats.org/officeDocument/2006/relationships/hyperlink" Target="javascript:__doPostBack('ctl00$ContentPlaceHolder1$Grd_tot_detail$ctl05$hypjuly','')" TargetMode="External"/><Relationship Id="rId265" Type="http://schemas.openxmlformats.org/officeDocument/2006/relationships/hyperlink" Target="javascript:__doPostBack('ctl00$ContentPlaceHolder1$Grd_tot_detail$ctl26$hypNovember','')" TargetMode="External"/><Relationship Id="rId286" Type="http://schemas.openxmlformats.org/officeDocument/2006/relationships/hyperlink" Target="javascript:__doPostBack('ctl00$ContentPlaceHolder1$Grd_tot_detail$ctl28$hypOcteber','')" TargetMode="External"/><Relationship Id="rId50" Type="http://schemas.openxmlformats.org/officeDocument/2006/relationships/hyperlink" Target="javascript:__doPostBack('ctl00$ContentPlaceHolder1$Grd_tot_detail$ctl06$hypjuly','')" TargetMode="External"/><Relationship Id="rId104" Type="http://schemas.openxmlformats.org/officeDocument/2006/relationships/hyperlink" Target="javascript:__doPostBack('ctl00$ContentPlaceHolder1$Grd_tot_detail$ctl11$hypjune','')" TargetMode="External"/><Relationship Id="rId125" Type="http://schemas.openxmlformats.org/officeDocument/2006/relationships/hyperlink" Target="javascript:__doPostBack('ctl00$ContentPlaceHolder1$Grd_tot_detail$ctl13$hypmay','')" TargetMode="External"/><Relationship Id="rId146" Type="http://schemas.openxmlformats.org/officeDocument/2006/relationships/hyperlink" Target="javascript:__doPostBack('ctl00$ContentPlaceHolder1$Grd_tot_detail$ctl15$hypapr','')" TargetMode="External"/><Relationship Id="rId167" Type="http://schemas.openxmlformats.org/officeDocument/2006/relationships/hyperlink" Target="javascript:__doPostBack('ctl00$ContentPlaceHolder1$Grd_tot_detail$ctl17$hypDecember','')" TargetMode="External"/><Relationship Id="rId188" Type="http://schemas.openxmlformats.org/officeDocument/2006/relationships/hyperlink" Target="javascript:__doPostBack('ctl00$ContentPlaceHolder1$Grd_tot_detail$ctl19$hypNovember','')" TargetMode="External"/><Relationship Id="rId311" Type="http://schemas.openxmlformats.org/officeDocument/2006/relationships/hyperlink" Target="javascript:__doPostBack('ctl00$ContentPlaceHolder1$Grd_tot_detail$ctl31$lbtnttlsch','')" TargetMode="External"/><Relationship Id="rId332" Type="http://schemas.openxmlformats.org/officeDocument/2006/relationships/hyperlink" Target="javascript:__doPostBack('ctl00$ContentPlaceHolder1$Grd_tot_detail$ctl32$hypDecember','')" TargetMode="External"/><Relationship Id="rId353" Type="http://schemas.openxmlformats.org/officeDocument/2006/relationships/hyperlink" Target="javascript:__doPostBack('ctl00$ContentPlaceHolder1$Grd_tot_detail$ctl34$hypNovember','')" TargetMode="External"/><Relationship Id="rId71" Type="http://schemas.openxmlformats.org/officeDocument/2006/relationships/hyperlink" Target="javascript:__doPostBack('ctl00$ContentPlaceHolder1$Grd_tot_detail$ctl08$hypjune','')" TargetMode="External"/><Relationship Id="rId92" Type="http://schemas.openxmlformats.org/officeDocument/2006/relationships/hyperlink" Target="javascript:__doPostBack('ctl00$ContentPlaceHolder1$Grd_tot_detail$ctl10$hypmay','')" TargetMode="External"/><Relationship Id="rId213" Type="http://schemas.openxmlformats.org/officeDocument/2006/relationships/hyperlink" Target="javascript:__doPostBack('ctl00$ContentPlaceHolder1$Grd_tot_detail$ctl22$lbtnfreezsch','')" TargetMode="External"/><Relationship Id="rId234" Type="http://schemas.openxmlformats.org/officeDocument/2006/relationships/hyperlink" Target="javascript:__doPostBack('ctl00$ContentPlaceHolder1$Grd_tot_detail$ctl24$lbtnttlsch','')" TargetMode="External"/><Relationship Id="rId2" Type="http://schemas.openxmlformats.org/officeDocument/2006/relationships/hyperlink" Target="javascript:__doPostBack('ctl00$ContentPlaceHolder1$Grd_tot_detail$ctl02$lbtnfreezsch','')" TargetMode="External"/><Relationship Id="rId29" Type="http://schemas.openxmlformats.org/officeDocument/2006/relationships/hyperlink" Target="javascript:__doPostBack('ctl00$ContentPlaceHolder1$Grd_tot_detail$ctl04$hypAugust','')" TargetMode="External"/><Relationship Id="rId255" Type="http://schemas.openxmlformats.org/officeDocument/2006/relationships/hyperlink" Target="javascript:__doPostBack('ctl00$ContentPlaceHolder1$Grd_tot_detail$ctl25$hypDecember','')" TargetMode="External"/><Relationship Id="rId276" Type="http://schemas.openxmlformats.org/officeDocument/2006/relationships/hyperlink" Target="javascript:__doPostBack('ctl00$ContentPlaceHolder1$Grd_tot_detail$ctl27$hypNovember','')" TargetMode="External"/><Relationship Id="rId297" Type="http://schemas.openxmlformats.org/officeDocument/2006/relationships/hyperlink" Target="javascript:__doPostBack('ctl00$ContentPlaceHolder1$Grd_tot_detail$ctl29$hypOcteber','')" TargetMode="External"/><Relationship Id="rId40" Type="http://schemas.openxmlformats.org/officeDocument/2006/relationships/hyperlink" Target="javascript:__doPostBack('ctl00$ContentPlaceHolder1$Grd_tot_detail$ctl05$hypAugust','')" TargetMode="External"/><Relationship Id="rId115" Type="http://schemas.openxmlformats.org/officeDocument/2006/relationships/hyperlink" Target="javascript:__doPostBack('ctl00$ContentPlaceHolder1$Grd_tot_detail$ctl12$hypjune','')" TargetMode="External"/><Relationship Id="rId136" Type="http://schemas.openxmlformats.org/officeDocument/2006/relationships/hyperlink" Target="javascript:__doPostBack('ctl00$ContentPlaceHolder1$Grd_tot_detail$ctl14$hypmay','')" TargetMode="External"/><Relationship Id="rId157" Type="http://schemas.openxmlformats.org/officeDocument/2006/relationships/hyperlink" Target="javascript:__doPostBack('ctl00$ContentPlaceHolder1$Grd_tot_detail$ctl17$lbtnttlsch','')" TargetMode="External"/><Relationship Id="rId178" Type="http://schemas.openxmlformats.org/officeDocument/2006/relationships/hyperlink" Target="javascript:__doPostBack('ctl00$ContentPlaceHolder1$Grd_tot_detail$ctl18$hypDecember','')" TargetMode="External"/><Relationship Id="rId301" Type="http://schemas.openxmlformats.org/officeDocument/2006/relationships/hyperlink" Target="javascript:__doPostBack('ctl00$ContentPlaceHolder1$Grd_tot_detail$ctl30$lbtnfreezsch','')" TargetMode="External"/><Relationship Id="rId322" Type="http://schemas.openxmlformats.org/officeDocument/2006/relationships/hyperlink" Target="javascript:__doPostBack('ctl00$ContentPlaceHolder1$Grd_tot_detail$ctl32$lbtnttlsch','')" TargetMode="External"/><Relationship Id="rId343" Type="http://schemas.openxmlformats.org/officeDocument/2006/relationships/hyperlink" Target="javascript:__doPostBack('ctl00$ContentPlaceHolder1$Grd_tot_detail$ctl33$hypDecember','')" TargetMode="External"/><Relationship Id="rId364" Type="http://schemas.openxmlformats.org/officeDocument/2006/relationships/hyperlink" Target="javascript:__doPostBack('ctl00$ContentPlaceHolder1$Grd_tot_detail$ctl35$hypNovember','')" TargetMode="External"/><Relationship Id="rId61" Type="http://schemas.openxmlformats.org/officeDocument/2006/relationships/hyperlink" Target="javascript:__doPostBack('ctl00$ContentPlaceHolder1$Grd_tot_detail$ctl07$hypjuly','')" TargetMode="External"/><Relationship Id="rId82" Type="http://schemas.openxmlformats.org/officeDocument/2006/relationships/hyperlink" Target="javascript:__doPostBack('ctl00$ContentPlaceHolder1$Grd_tot_detail$ctl09$hypjune','')" TargetMode="External"/><Relationship Id="rId199" Type="http://schemas.openxmlformats.org/officeDocument/2006/relationships/hyperlink" Target="javascript:__doPostBack('ctl00$ContentPlaceHolder1$Grd_tot_detail$ctl20$hypNovember','')" TargetMode="External"/><Relationship Id="rId203" Type="http://schemas.openxmlformats.org/officeDocument/2006/relationships/hyperlink" Target="javascript:__doPostBack('ctl00$ContentPlaceHolder1$Grd_tot_detail$ctl21$hypapr','')" TargetMode="External"/><Relationship Id="rId19" Type="http://schemas.openxmlformats.org/officeDocument/2006/relationships/hyperlink" Target="javascript:__doPostBack('ctl00$ContentPlaceHolder1$Grd_tot_detail$ctl03$hypSeptember','')" TargetMode="External"/><Relationship Id="rId224" Type="http://schemas.openxmlformats.org/officeDocument/2006/relationships/hyperlink" Target="javascript:__doPostBack('ctl00$ContentPlaceHolder1$Grd_tot_detail$ctl23$lbtnfreezsch','')" TargetMode="External"/><Relationship Id="rId245" Type="http://schemas.openxmlformats.org/officeDocument/2006/relationships/hyperlink" Target="javascript:__doPostBack('ctl00$ContentPlaceHolder1$Grd_tot_detail$ctl25$lbtnttlsch','')" TargetMode="External"/><Relationship Id="rId266" Type="http://schemas.openxmlformats.org/officeDocument/2006/relationships/hyperlink" Target="javascript:__doPostBack('ctl00$ContentPlaceHolder1$Grd_tot_detail$ctl26$hypDecember','')" TargetMode="External"/><Relationship Id="rId287" Type="http://schemas.openxmlformats.org/officeDocument/2006/relationships/hyperlink" Target="javascript:__doPostBack('ctl00$ContentPlaceHolder1$Grd_tot_detail$ctl28$hypNovember','')" TargetMode="External"/><Relationship Id="rId30" Type="http://schemas.openxmlformats.org/officeDocument/2006/relationships/hyperlink" Target="javascript:__doPostBack('ctl00$ContentPlaceHolder1$Grd_tot_detail$ctl04$hypSeptember','')" TargetMode="External"/><Relationship Id="rId105" Type="http://schemas.openxmlformats.org/officeDocument/2006/relationships/hyperlink" Target="javascript:__doPostBack('ctl00$ContentPlaceHolder1$Grd_tot_detail$ctl11$hypjuly','')" TargetMode="External"/><Relationship Id="rId126" Type="http://schemas.openxmlformats.org/officeDocument/2006/relationships/hyperlink" Target="javascript:__doPostBack('ctl00$ContentPlaceHolder1$Grd_tot_detail$ctl13$hypjune','')" TargetMode="External"/><Relationship Id="rId147" Type="http://schemas.openxmlformats.org/officeDocument/2006/relationships/hyperlink" Target="javascript:__doPostBack('ctl00$ContentPlaceHolder1$Grd_tot_detail$ctl15$hypmay','')" TargetMode="External"/><Relationship Id="rId168" Type="http://schemas.openxmlformats.org/officeDocument/2006/relationships/hyperlink" Target="javascript:__doPostBack('ctl00$ContentPlaceHolder1$Grd_tot_detail$ctl18$lbtnttlsch','')" TargetMode="External"/><Relationship Id="rId312" Type="http://schemas.openxmlformats.org/officeDocument/2006/relationships/hyperlink" Target="javascript:__doPostBack('ctl00$ContentPlaceHolder1$Grd_tot_detail$ctl31$lbtnfreezsch','')" TargetMode="External"/><Relationship Id="rId333" Type="http://schemas.openxmlformats.org/officeDocument/2006/relationships/hyperlink" Target="javascript:__doPostBack('ctl00$ContentPlaceHolder1$Grd_tot_detail$ctl33$lbtnttlsch','')" TargetMode="External"/><Relationship Id="rId354" Type="http://schemas.openxmlformats.org/officeDocument/2006/relationships/hyperlink" Target="javascript:__doPostBack('ctl00$ContentPlaceHolder1$Grd_tot_detail$ctl34$hypDecember','')" TargetMode="External"/><Relationship Id="rId51" Type="http://schemas.openxmlformats.org/officeDocument/2006/relationships/hyperlink" Target="javascript:__doPostBack('ctl00$ContentPlaceHolder1$Grd_tot_detail$ctl06$hypAugust','')" TargetMode="External"/><Relationship Id="rId72" Type="http://schemas.openxmlformats.org/officeDocument/2006/relationships/hyperlink" Target="javascript:__doPostBack('ctl00$ContentPlaceHolder1$Grd_tot_detail$ctl08$hypjuly','')" TargetMode="External"/><Relationship Id="rId93" Type="http://schemas.openxmlformats.org/officeDocument/2006/relationships/hyperlink" Target="javascript:__doPostBack('ctl00$ContentPlaceHolder1$Grd_tot_detail$ctl10$hypjune','')" TargetMode="External"/><Relationship Id="rId189" Type="http://schemas.openxmlformats.org/officeDocument/2006/relationships/hyperlink" Target="javascript:__doPostBack('ctl00$ContentPlaceHolder1$Grd_tot_detail$ctl19$hypDecember','')" TargetMode="External"/><Relationship Id="rId3" Type="http://schemas.openxmlformats.org/officeDocument/2006/relationships/hyperlink" Target="javascript:__doPostBack('ctl00$ContentPlaceHolder1$Grd_tot_detail$ctl02$hypapr','')" TargetMode="External"/><Relationship Id="rId214" Type="http://schemas.openxmlformats.org/officeDocument/2006/relationships/hyperlink" Target="javascript:__doPostBack('ctl00$ContentPlaceHolder1$Grd_tot_detail$ctl22$hypapr','')" TargetMode="External"/><Relationship Id="rId235" Type="http://schemas.openxmlformats.org/officeDocument/2006/relationships/hyperlink" Target="javascript:__doPostBack('ctl00$ContentPlaceHolder1$Grd_tot_detail$ctl24$lbtnfreezsch','')" TargetMode="External"/><Relationship Id="rId256" Type="http://schemas.openxmlformats.org/officeDocument/2006/relationships/hyperlink" Target="javascript:__doPostBack('ctl00$ContentPlaceHolder1$Grd_tot_detail$ctl26$lbtnttlsch','')" TargetMode="External"/><Relationship Id="rId277" Type="http://schemas.openxmlformats.org/officeDocument/2006/relationships/hyperlink" Target="javascript:__doPostBack('ctl00$ContentPlaceHolder1$Grd_tot_detail$ctl27$hypDecember','')" TargetMode="External"/><Relationship Id="rId298" Type="http://schemas.openxmlformats.org/officeDocument/2006/relationships/hyperlink" Target="javascript:__doPostBack('ctl00$ContentPlaceHolder1$Grd_tot_detail$ctl29$hypNovember','')" TargetMode="External"/><Relationship Id="rId116" Type="http://schemas.openxmlformats.org/officeDocument/2006/relationships/hyperlink" Target="javascript:__doPostBack('ctl00$ContentPlaceHolder1$Grd_tot_detail$ctl12$hypjuly','')" TargetMode="External"/><Relationship Id="rId137" Type="http://schemas.openxmlformats.org/officeDocument/2006/relationships/hyperlink" Target="javascript:__doPostBack('ctl00$ContentPlaceHolder1$Grd_tot_detail$ctl14$hypjune','')" TargetMode="External"/><Relationship Id="rId158" Type="http://schemas.openxmlformats.org/officeDocument/2006/relationships/hyperlink" Target="javascript:__doPostBack('ctl00$ContentPlaceHolder1$Grd_tot_detail$ctl17$lbtnfreezsch','')" TargetMode="External"/><Relationship Id="rId302" Type="http://schemas.openxmlformats.org/officeDocument/2006/relationships/hyperlink" Target="javascript:__doPostBack('ctl00$ContentPlaceHolder1$Grd_tot_detail$ctl30$hypapr','')" TargetMode="External"/><Relationship Id="rId323" Type="http://schemas.openxmlformats.org/officeDocument/2006/relationships/hyperlink" Target="javascript:__doPostBack('ctl00$ContentPlaceHolder1$Grd_tot_detail$ctl32$lbtnfreezsch','')" TargetMode="External"/><Relationship Id="rId344" Type="http://schemas.openxmlformats.org/officeDocument/2006/relationships/hyperlink" Target="javascript:__doPostBack('ctl00$ContentPlaceHolder1$Grd_tot_detail$ctl34$lbtnttlsch','')" TargetMode="External"/><Relationship Id="rId20" Type="http://schemas.openxmlformats.org/officeDocument/2006/relationships/hyperlink" Target="javascript:__doPostBack('ctl00$ContentPlaceHolder1$Grd_tot_detail$ctl03$hypOcteber','')" TargetMode="External"/><Relationship Id="rId41" Type="http://schemas.openxmlformats.org/officeDocument/2006/relationships/hyperlink" Target="javascript:__doPostBack('ctl00$ContentPlaceHolder1$Grd_tot_detail$ctl05$hypSeptember','')" TargetMode="External"/><Relationship Id="rId62" Type="http://schemas.openxmlformats.org/officeDocument/2006/relationships/hyperlink" Target="javascript:__doPostBack('ctl00$ContentPlaceHolder1$Grd_tot_detail$ctl07$hypAugust','')" TargetMode="External"/><Relationship Id="rId83" Type="http://schemas.openxmlformats.org/officeDocument/2006/relationships/hyperlink" Target="javascript:__doPostBack('ctl00$ContentPlaceHolder1$Grd_tot_detail$ctl09$hypjuly','')" TargetMode="External"/><Relationship Id="rId179" Type="http://schemas.openxmlformats.org/officeDocument/2006/relationships/hyperlink" Target="javascript:__doPostBack('ctl00$ContentPlaceHolder1$Grd_tot_detail$ctl19$lbtnttlsch','')" TargetMode="External"/><Relationship Id="rId365" Type="http://schemas.openxmlformats.org/officeDocument/2006/relationships/hyperlink" Target="javascript:__doPostBack('ctl00$ContentPlaceHolder1$Grd_tot_detail$ctl35$hypDecember','')" TargetMode="External"/><Relationship Id="rId190" Type="http://schemas.openxmlformats.org/officeDocument/2006/relationships/hyperlink" Target="javascript:__doPostBack('ctl00$ContentPlaceHolder1$Grd_tot_detail$ctl20$lbtnttlsch','')" TargetMode="External"/><Relationship Id="rId204" Type="http://schemas.openxmlformats.org/officeDocument/2006/relationships/hyperlink" Target="javascript:__doPostBack('ctl00$ContentPlaceHolder1$Grd_tot_detail$ctl21$hypmay','')" TargetMode="External"/><Relationship Id="rId225" Type="http://schemas.openxmlformats.org/officeDocument/2006/relationships/hyperlink" Target="javascript:__doPostBack('ctl00$ContentPlaceHolder1$Grd_tot_detail$ctl23$hypapr','')" TargetMode="External"/><Relationship Id="rId246" Type="http://schemas.openxmlformats.org/officeDocument/2006/relationships/hyperlink" Target="javascript:__doPostBack('ctl00$ContentPlaceHolder1$Grd_tot_detail$ctl25$lbtnfreezsch','')" TargetMode="External"/><Relationship Id="rId267" Type="http://schemas.openxmlformats.org/officeDocument/2006/relationships/hyperlink" Target="javascript:__doPostBack('ctl00$ContentPlaceHolder1$Grd_tot_detail$ctl27$lbtnttlsch','')" TargetMode="External"/><Relationship Id="rId288" Type="http://schemas.openxmlformats.org/officeDocument/2006/relationships/hyperlink" Target="javascript:__doPostBack('ctl00$ContentPlaceHolder1$Grd_tot_detail$ctl28$hypDecember','')" TargetMode="External"/><Relationship Id="rId106" Type="http://schemas.openxmlformats.org/officeDocument/2006/relationships/hyperlink" Target="javascript:__doPostBack('ctl00$ContentPlaceHolder1$Grd_tot_detail$ctl11$hypAugust','')" TargetMode="External"/><Relationship Id="rId127" Type="http://schemas.openxmlformats.org/officeDocument/2006/relationships/hyperlink" Target="javascript:__doPostBack('ctl00$ContentPlaceHolder1$Grd_tot_detail$ctl13$hypjuly','')" TargetMode="External"/><Relationship Id="rId313" Type="http://schemas.openxmlformats.org/officeDocument/2006/relationships/hyperlink" Target="javascript:__doPostBack('ctl00$ContentPlaceHolder1$Grd_tot_detail$ctl31$hypapr','')" TargetMode="Externa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30"/>
  <sheetViews>
    <sheetView view="pageBreakPreview" zoomScale="90" zoomScaleSheetLayoutView="90" workbookViewId="0">
      <selection activeCell="C50" sqref="C50"/>
    </sheetView>
  </sheetViews>
  <sheetFormatPr defaultRowHeight="12.75"/>
  <cols>
    <col min="15" max="15" width="12.42578125" customWidth="1"/>
  </cols>
  <sheetData>
    <row r="130" spans="1:1">
      <c r="A130" t="s">
        <v>689</v>
      </c>
    </row>
  </sheetData>
  <printOptions horizontalCentered="1"/>
  <pageMargins left="0.70866141732283472" right="0.70866141732283472" top="0.23622047244094491" bottom="0"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S57"/>
  <sheetViews>
    <sheetView view="pageBreakPreview" topLeftCell="A13" zoomScale="90" zoomScaleSheetLayoutView="90" workbookViewId="0">
      <selection activeCell="C31" sqref="C31:M31"/>
    </sheetView>
  </sheetViews>
  <sheetFormatPr defaultRowHeight="12.75"/>
  <cols>
    <col min="1" max="1" width="7.5703125" customWidth="1"/>
    <col min="2" max="2" width="23.5703125"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7.5703125" customWidth="1"/>
    <col min="13" max="13" width="12.28515625" customWidth="1"/>
    <col min="14" max="14" width="15.85546875" customWidth="1"/>
  </cols>
  <sheetData>
    <row r="1" spans="1:19" ht="12.75" customHeight="1">
      <c r="D1" s="803"/>
      <c r="E1" s="803"/>
      <c r="F1" s="803"/>
      <c r="G1" s="803"/>
      <c r="H1" s="803"/>
      <c r="I1" s="803"/>
      <c r="J1" s="803"/>
      <c r="K1" s="1"/>
      <c r="M1" s="103" t="s">
        <v>90</v>
      </c>
    </row>
    <row r="2" spans="1:19" ht="15">
      <c r="A2" s="920" t="s">
        <v>0</v>
      </c>
      <c r="B2" s="920"/>
      <c r="C2" s="920"/>
      <c r="D2" s="920"/>
      <c r="E2" s="920"/>
      <c r="F2" s="920"/>
      <c r="G2" s="920"/>
      <c r="H2" s="920"/>
      <c r="I2" s="920"/>
      <c r="J2" s="920"/>
      <c r="K2" s="920"/>
      <c r="L2" s="920"/>
      <c r="M2" s="920"/>
      <c r="N2" s="920"/>
    </row>
    <row r="3" spans="1:19" ht="20.25">
      <c r="A3" s="848" t="s">
        <v>745</v>
      </c>
      <c r="B3" s="848"/>
      <c r="C3" s="848"/>
      <c r="D3" s="848"/>
      <c r="E3" s="848"/>
      <c r="F3" s="848"/>
      <c r="G3" s="848"/>
      <c r="H3" s="848"/>
      <c r="I3" s="848"/>
      <c r="J3" s="848"/>
      <c r="K3" s="848"/>
      <c r="L3" s="848"/>
      <c r="M3" s="848"/>
      <c r="N3" s="848"/>
    </row>
    <row r="4" spans="1:19" ht="11.25" customHeight="1"/>
    <row r="5" spans="1:19" ht="15.75">
      <c r="A5" s="849" t="s">
        <v>799</v>
      </c>
      <c r="B5" s="849"/>
      <c r="C5" s="849"/>
      <c r="D5" s="849"/>
      <c r="E5" s="849"/>
      <c r="F5" s="849"/>
      <c r="G5" s="849"/>
      <c r="H5" s="849"/>
      <c r="I5" s="849"/>
      <c r="J5" s="849"/>
      <c r="K5" s="849"/>
      <c r="L5" s="849"/>
      <c r="M5" s="849"/>
      <c r="N5" s="849"/>
    </row>
    <row r="7" spans="1:19">
      <c r="A7" s="850" t="s">
        <v>911</v>
      </c>
      <c r="B7" s="850"/>
      <c r="L7" s="916" t="s">
        <v>831</v>
      </c>
      <c r="M7" s="916"/>
      <c r="N7" s="916"/>
    </row>
    <row r="8" spans="1:19" ht="15.75" customHeight="1">
      <c r="A8" s="917" t="s">
        <v>2</v>
      </c>
      <c r="B8" s="917" t="s">
        <v>3</v>
      </c>
      <c r="C8" s="828" t="s">
        <v>4</v>
      </c>
      <c r="D8" s="828"/>
      <c r="E8" s="828"/>
      <c r="F8" s="828"/>
      <c r="G8" s="828"/>
      <c r="H8" s="828" t="s">
        <v>104</v>
      </c>
      <c r="I8" s="828"/>
      <c r="J8" s="828"/>
      <c r="K8" s="828"/>
      <c r="L8" s="828"/>
      <c r="M8" s="917" t="s">
        <v>134</v>
      </c>
      <c r="N8" s="834" t="s">
        <v>135</v>
      </c>
    </row>
    <row r="9" spans="1:19" ht="51">
      <c r="A9" s="918"/>
      <c r="B9" s="918"/>
      <c r="C9" s="5" t="s">
        <v>5</v>
      </c>
      <c r="D9" s="5" t="s">
        <v>6</v>
      </c>
      <c r="E9" s="5" t="s">
        <v>357</v>
      </c>
      <c r="F9" s="5" t="s">
        <v>102</v>
      </c>
      <c r="G9" s="5" t="s">
        <v>205</v>
      </c>
      <c r="H9" s="5" t="s">
        <v>5</v>
      </c>
      <c r="I9" s="5" t="s">
        <v>6</v>
      </c>
      <c r="J9" s="5" t="s">
        <v>357</v>
      </c>
      <c r="K9" s="5" t="s">
        <v>102</v>
      </c>
      <c r="L9" s="5" t="s">
        <v>204</v>
      </c>
      <c r="M9" s="918"/>
      <c r="N9" s="834"/>
      <c r="R9" s="9"/>
      <c r="S9" s="12"/>
    </row>
    <row r="10" spans="1:19" s="14" customFormat="1">
      <c r="A10" s="5">
        <v>1</v>
      </c>
      <c r="B10" s="5">
        <v>2</v>
      </c>
      <c r="C10" s="5">
        <v>3</v>
      </c>
      <c r="D10" s="5">
        <v>4</v>
      </c>
      <c r="E10" s="5">
        <v>5</v>
      </c>
      <c r="F10" s="5">
        <v>6</v>
      </c>
      <c r="G10" s="5">
        <v>7</v>
      </c>
      <c r="H10" s="5">
        <v>8</v>
      </c>
      <c r="I10" s="5">
        <v>9</v>
      </c>
      <c r="J10" s="5">
        <v>10</v>
      </c>
      <c r="K10" s="5">
        <v>11</v>
      </c>
      <c r="L10" s="5">
        <v>12</v>
      </c>
      <c r="M10" s="5">
        <v>13</v>
      </c>
      <c r="N10" s="5">
        <v>14</v>
      </c>
    </row>
    <row r="11" spans="1:19">
      <c r="A11" s="8">
        <v>1</v>
      </c>
      <c r="B11" s="536" t="s">
        <v>961</v>
      </c>
      <c r="C11" s="537">
        <v>269</v>
      </c>
      <c r="D11" s="537">
        <v>134</v>
      </c>
      <c r="E11" s="537">
        <v>0</v>
      </c>
      <c r="F11" s="537">
        <v>0</v>
      </c>
      <c r="G11" s="537">
        <f t="shared" ref="G11:G45" si="0">SUM(C11:F11)</f>
        <v>403</v>
      </c>
      <c r="H11" s="537">
        <v>269</v>
      </c>
      <c r="I11" s="537">
        <v>134</v>
      </c>
      <c r="J11" s="537">
        <v>0</v>
      </c>
      <c r="K11" s="537">
        <v>0</v>
      </c>
      <c r="L11" s="537">
        <f t="shared" ref="L11:L44" si="1">SUM(H11:K11)</f>
        <v>403</v>
      </c>
      <c r="M11" s="537">
        <f t="shared" ref="M11:M44" si="2">G11-L11</f>
        <v>0</v>
      </c>
      <c r="N11" s="9"/>
    </row>
    <row r="12" spans="1:19">
      <c r="A12" s="8">
        <v>2</v>
      </c>
      <c r="B12" s="536" t="s">
        <v>962</v>
      </c>
      <c r="C12" s="537">
        <v>473</v>
      </c>
      <c r="D12" s="537">
        <v>152</v>
      </c>
      <c r="E12" s="537">
        <v>0</v>
      </c>
      <c r="F12" s="537">
        <v>0</v>
      </c>
      <c r="G12" s="537">
        <f t="shared" si="0"/>
        <v>625</v>
      </c>
      <c r="H12" s="537">
        <v>473</v>
      </c>
      <c r="I12" s="537">
        <v>152</v>
      </c>
      <c r="J12" s="537">
        <v>0</v>
      </c>
      <c r="K12" s="537">
        <v>0</v>
      </c>
      <c r="L12" s="537">
        <f t="shared" si="1"/>
        <v>625</v>
      </c>
      <c r="M12" s="537">
        <f t="shared" si="2"/>
        <v>0</v>
      </c>
      <c r="N12" s="9"/>
    </row>
    <row r="13" spans="1:19">
      <c r="A13" s="8">
        <v>3</v>
      </c>
      <c r="B13" s="536" t="s">
        <v>963</v>
      </c>
      <c r="C13" s="537">
        <v>829</v>
      </c>
      <c r="D13" s="537">
        <v>66</v>
      </c>
      <c r="E13" s="537">
        <v>0</v>
      </c>
      <c r="F13" s="537">
        <v>0</v>
      </c>
      <c r="G13" s="537">
        <f t="shared" si="0"/>
        <v>895</v>
      </c>
      <c r="H13" s="537">
        <v>829</v>
      </c>
      <c r="I13" s="537">
        <v>66</v>
      </c>
      <c r="J13" s="537">
        <v>0</v>
      </c>
      <c r="K13" s="537">
        <v>0</v>
      </c>
      <c r="L13" s="537">
        <f t="shared" si="1"/>
        <v>895</v>
      </c>
      <c r="M13" s="537">
        <f t="shared" si="2"/>
        <v>0</v>
      </c>
      <c r="N13" s="9"/>
    </row>
    <row r="14" spans="1:19">
      <c r="A14" s="8">
        <v>4</v>
      </c>
      <c r="B14" s="536" t="s">
        <v>964</v>
      </c>
      <c r="C14" s="537">
        <v>580</v>
      </c>
      <c r="D14" s="537">
        <v>133</v>
      </c>
      <c r="E14" s="537">
        <v>0</v>
      </c>
      <c r="F14" s="537">
        <v>0</v>
      </c>
      <c r="G14" s="537">
        <f t="shared" si="0"/>
        <v>713</v>
      </c>
      <c r="H14" s="537">
        <v>580</v>
      </c>
      <c r="I14" s="537">
        <v>133</v>
      </c>
      <c r="J14" s="537">
        <v>0</v>
      </c>
      <c r="K14" s="537">
        <v>0</v>
      </c>
      <c r="L14" s="537">
        <f t="shared" si="1"/>
        <v>713</v>
      </c>
      <c r="M14" s="537">
        <f t="shared" si="2"/>
        <v>0</v>
      </c>
      <c r="N14" s="9"/>
    </row>
    <row r="15" spans="1:19">
      <c r="A15" s="8">
        <v>5</v>
      </c>
      <c r="B15" s="536" t="s">
        <v>1009</v>
      </c>
      <c r="C15" s="537">
        <v>933</v>
      </c>
      <c r="D15" s="537">
        <v>97</v>
      </c>
      <c r="E15" s="537">
        <v>0</v>
      </c>
      <c r="F15" s="537">
        <v>8</v>
      </c>
      <c r="G15" s="537">
        <f t="shared" si="0"/>
        <v>1038</v>
      </c>
      <c r="H15" s="537">
        <v>933</v>
      </c>
      <c r="I15" s="537">
        <v>97</v>
      </c>
      <c r="J15" s="537">
        <v>0</v>
      </c>
      <c r="K15" s="537">
        <v>8</v>
      </c>
      <c r="L15" s="537">
        <f t="shared" si="1"/>
        <v>1038</v>
      </c>
      <c r="M15" s="537">
        <f t="shared" si="2"/>
        <v>0</v>
      </c>
      <c r="N15" s="9"/>
    </row>
    <row r="16" spans="1:19">
      <c r="A16" s="8">
        <v>6</v>
      </c>
      <c r="B16" s="536" t="s">
        <v>965</v>
      </c>
      <c r="C16" s="537">
        <v>434</v>
      </c>
      <c r="D16" s="537">
        <v>15</v>
      </c>
      <c r="E16" s="537">
        <v>0</v>
      </c>
      <c r="F16" s="537">
        <v>0</v>
      </c>
      <c r="G16" s="537">
        <f t="shared" si="0"/>
        <v>449</v>
      </c>
      <c r="H16" s="537">
        <v>434</v>
      </c>
      <c r="I16" s="537">
        <v>15</v>
      </c>
      <c r="J16" s="537">
        <v>0</v>
      </c>
      <c r="K16" s="537">
        <v>0</v>
      </c>
      <c r="L16" s="537">
        <f t="shared" si="1"/>
        <v>449</v>
      </c>
      <c r="M16" s="537">
        <f t="shared" si="2"/>
        <v>0</v>
      </c>
      <c r="N16" s="9"/>
    </row>
    <row r="17" spans="1:14">
      <c r="A17" s="8">
        <v>7</v>
      </c>
      <c r="B17" s="536" t="s">
        <v>966</v>
      </c>
      <c r="C17" s="537">
        <v>445</v>
      </c>
      <c r="D17" s="537">
        <v>26</v>
      </c>
      <c r="E17" s="537">
        <v>0</v>
      </c>
      <c r="F17" s="537">
        <v>0</v>
      </c>
      <c r="G17" s="537">
        <f t="shared" si="0"/>
        <v>471</v>
      </c>
      <c r="H17" s="537">
        <v>445</v>
      </c>
      <c r="I17" s="537">
        <v>26</v>
      </c>
      <c r="J17" s="537">
        <v>0</v>
      </c>
      <c r="K17" s="537">
        <v>0</v>
      </c>
      <c r="L17" s="537">
        <f t="shared" si="1"/>
        <v>471</v>
      </c>
      <c r="M17" s="537">
        <f t="shared" si="2"/>
        <v>0</v>
      </c>
      <c r="N17" s="9"/>
    </row>
    <row r="18" spans="1:14">
      <c r="A18" s="8">
        <v>8</v>
      </c>
      <c r="B18" s="536" t="s">
        <v>967</v>
      </c>
      <c r="C18" s="537">
        <v>617</v>
      </c>
      <c r="D18" s="537">
        <v>45</v>
      </c>
      <c r="E18" s="537">
        <v>0</v>
      </c>
      <c r="F18" s="537">
        <v>1</v>
      </c>
      <c r="G18" s="537">
        <f t="shared" si="0"/>
        <v>663</v>
      </c>
      <c r="H18" s="537">
        <v>617</v>
      </c>
      <c r="I18" s="537">
        <v>45</v>
      </c>
      <c r="J18" s="537">
        <v>0</v>
      </c>
      <c r="K18" s="537">
        <v>1</v>
      </c>
      <c r="L18" s="537">
        <f t="shared" si="1"/>
        <v>663</v>
      </c>
      <c r="M18" s="537">
        <f t="shared" si="2"/>
        <v>0</v>
      </c>
      <c r="N18" s="9"/>
    </row>
    <row r="19" spans="1:14">
      <c r="A19" s="8">
        <v>9</v>
      </c>
      <c r="B19" s="536" t="s">
        <v>968</v>
      </c>
      <c r="C19" s="537">
        <v>514</v>
      </c>
      <c r="D19" s="537">
        <v>46</v>
      </c>
      <c r="E19" s="537">
        <v>0</v>
      </c>
      <c r="F19" s="537">
        <v>1</v>
      </c>
      <c r="G19" s="537">
        <f t="shared" si="0"/>
        <v>561</v>
      </c>
      <c r="H19" s="537">
        <v>514</v>
      </c>
      <c r="I19" s="537">
        <v>46</v>
      </c>
      <c r="J19" s="537">
        <v>0</v>
      </c>
      <c r="K19" s="537">
        <v>1</v>
      </c>
      <c r="L19" s="537">
        <f t="shared" si="1"/>
        <v>561</v>
      </c>
      <c r="M19" s="537">
        <f t="shared" si="2"/>
        <v>0</v>
      </c>
      <c r="N19" s="9"/>
    </row>
    <row r="20" spans="1:14">
      <c r="A20" s="8">
        <v>10</v>
      </c>
      <c r="B20" s="536" t="s">
        <v>970</v>
      </c>
      <c r="C20" s="537">
        <v>743</v>
      </c>
      <c r="D20" s="537">
        <v>44</v>
      </c>
      <c r="E20" s="537">
        <v>0</v>
      </c>
      <c r="F20" s="537">
        <v>0</v>
      </c>
      <c r="G20" s="537">
        <f t="shared" si="0"/>
        <v>787</v>
      </c>
      <c r="H20" s="537">
        <v>743</v>
      </c>
      <c r="I20" s="537">
        <v>44</v>
      </c>
      <c r="J20" s="537">
        <v>0</v>
      </c>
      <c r="K20" s="537">
        <v>0</v>
      </c>
      <c r="L20" s="537">
        <f t="shared" si="1"/>
        <v>787</v>
      </c>
      <c r="M20" s="537">
        <f t="shared" si="2"/>
        <v>0</v>
      </c>
      <c r="N20" s="9"/>
    </row>
    <row r="21" spans="1:14">
      <c r="A21" s="8">
        <v>11</v>
      </c>
      <c r="B21" s="536" t="s">
        <v>969</v>
      </c>
      <c r="C21" s="537">
        <v>528</v>
      </c>
      <c r="D21" s="537">
        <v>10</v>
      </c>
      <c r="E21" s="537">
        <v>0</v>
      </c>
      <c r="F21" s="537">
        <v>0</v>
      </c>
      <c r="G21" s="537">
        <f t="shared" si="0"/>
        <v>538</v>
      </c>
      <c r="H21" s="537">
        <v>528</v>
      </c>
      <c r="I21" s="537">
        <v>10</v>
      </c>
      <c r="J21" s="537">
        <v>0</v>
      </c>
      <c r="K21" s="537">
        <v>0</v>
      </c>
      <c r="L21" s="537">
        <f t="shared" si="1"/>
        <v>538</v>
      </c>
      <c r="M21" s="537">
        <f t="shared" si="2"/>
        <v>0</v>
      </c>
      <c r="N21" s="9"/>
    </row>
    <row r="22" spans="1:14">
      <c r="A22" s="8">
        <v>12</v>
      </c>
      <c r="B22" s="536" t="s">
        <v>1008</v>
      </c>
      <c r="C22" s="537">
        <v>942</v>
      </c>
      <c r="D22" s="537">
        <v>129</v>
      </c>
      <c r="E22" s="537">
        <v>0</v>
      </c>
      <c r="F22" s="537">
        <v>1</v>
      </c>
      <c r="G22" s="537">
        <f t="shared" si="0"/>
        <v>1072</v>
      </c>
      <c r="H22" s="537">
        <v>942</v>
      </c>
      <c r="I22" s="537">
        <v>129</v>
      </c>
      <c r="J22" s="537">
        <v>0</v>
      </c>
      <c r="K22" s="537">
        <v>1</v>
      </c>
      <c r="L22" s="537">
        <f t="shared" si="1"/>
        <v>1072</v>
      </c>
      <c r="M22" s="537">
        <f t="shared" si="2"/>
        <v>0</v>
      </c>
      <c r="N22" s="9"/>
    </row>
    <row r="23" spans="1:14">
      <c r="A23" s="8">
        <v>13</v>
      </c>
      <c r="B23" s="536" t="s">
        <v>1007</v>
      </c>
      <c r="C23" s="537">
        <v>812</v>
      </c>
      <c r="D23" s="537">
        <v>57</v>
      </c>
      <c r="E23" s="537">
        <v>0</v>
      </c>
      <c r="F23" s="537">
        <v>0</v>
      </c>
      <c r="G23" s="537">
        <f t="shared" si="0"/>
        <v>869</v>
      </c>
      <c r="H23" s="537">
        <v>812</v>
      </c>
      <c r="I23" s="537">
        <v>57</v>
      </c>
      <c r="J23" s="537">
        <v>0</v>
      </c>
      <c r="K23" s="537">
        <v>0</v>
      </c>
      <c r="L23" s="537">
        <f t="shared" si="1"/>
        <v>869</v>
      </c>
      <c r="M23" s="537">
        <f t="shared" si="2"/>
        <v>0</v>
      </c>
      <c r="N23" s="9"/>
    </row>
    <row r="24" spans="1:14">
      <c r="A24" s="8">
        <v>14</v>
      </c>
      <c r="B24" s="536" t="s">
        <v>971</v>
      </c>
      <c r="C24" s="537">
        <v>403</v>
      </c>
      <c r="D24" s="537">
        <v>35</v>
      </c>
      <c r="E24" s="537">
        <v>0</v>
      </c>
      <c r="F24" s="537">
        <v>1</v>
      </c>
      <c r="G24" s="537">
        <f t="shared" si="0"/>
        <v>439</v>
      </c>
      <c r="H24" s="537">
        <v>403</v>
      </c>
      <c r="I24" s="537">
        <v>35</v>
      </c>
      <c r="J24" s="537">
        <v>0</v>
      </c>
      <c r="K24" s="537">
        <v>1</v>
      </c>
      <c r="L24" s="537">
        <f t="shared" si="1"/>
        <v>439</v>
      </c>
      <c r="M24" s="537">
        <f t="shared" si="2"/>
        <v>0</v>
      </c>
      <c r="N24" s="9"/>
    </row>
    <row r="25" spans="1:14">
      <c r="A25" s="8">
        <v>15</v>
      </c>
      <c r="B25" s="536" t="s">
        <v>1006</v>
      </c>
      <c r="C25" s="537">
        <v>256</v>
      </c>
      <c r="D25" s="537">
        <v>10</v>
      </c>
      <c r="E25" s="537">
        <v>0</v>
      </c>
      <c r="F25" s="537">
        <v>0</v>
      </c>
      <c r="G25" s="537">
        <f t="shared" si="0"/>
        <v>266</v>
      </c>
      <c r="H25" s="537">
        <v>256</v>
      </c>
      <c r="I25" s="537">
        <v>10</v>
      </c>
      <c r="J25" s="537">
        <v>0</v>
      </c>
      <c r="K25" s="537">
        <v>0</v>
      </c>
      <c r="L25" s="537">
        <f t="shared" si="1"/>
        <v>266</v>
      </c>
      <c r="M25" s="537">
        <f t="shared" si="2"/>
        <v>0</v>
      </c>
      <c r="N25" s="9"/>
    </row>
    <row r="26" spans="1:14">
      <c r="A26" s="8">
        <v>16</v>
      </c>
      <c r="B26" s="536" t="s">
        <v>1004</v>
      </c>
      <c r="C26" s="537">
        <v>961</v>
      </c>
      <c r="D26" s="537">
        <v>49</v>
      </c>
      <c r="E26" s="537">
        <v>0</v>
      </c>
      <c r="F26" s="537">
        <v>0</v>
      </c>
      <c r="G26" s="537">
        <f t="shared" si="0"/>
        <v>1010</v>
      </c>
      <c r="H26" s="537">
        <v>961</v>
      </c>
      <c r="I26" s="537">
        <v>49</v>
      </c>
      <c r="J26" s="537">
        <v>0</v>
      </c>
      <c r="K26" s="537">
        <v>0</v>
      </c>
      <c r="L26" s="537">
        <f t="shared" si="1"/>
        <v>1010</v>
      </c>
      <c r="M26" s="537">
        <f t="shared" si="2"/>
        <v>0</v>
      </c>
      <c r="N26" s="9"/>
    </row>
    <row r="27" spans="1:14">
      <c r="A27" s="8">
        <v>17</v>
      </c>
      <c r="B27" s="536" t="s">
        <v>1001</v>
      </c>
      <c r="C27" s="537">
        <v>659</v>
      </c>
      <c r="D27" s="537">
        <v>28</v>
      </c>
      <c r="E27" s="537">
        <v>0</v>
      </c>
      <c r="F27" s="537">
        <v>0</v>
      </c>
      <c r="G27" s="537">
        <f t="shared" si="0"/>
        <v>687</v>
      </c>
      <c r="H27" s="537">
        <v>659</v>
      </c>
      <c r="I27" s="537">
        <v>28</v>
      </c>
      <c r="J27" s="537">
        <v>0</v>
      </c>
      <c r="K27" s="537">
        <v>0</v>
      </c>
      <c r="L27" s="537">
        <f t="shared" si="1"/>
        <v>687</v>
      </c>
      <c r="M27" s="537">
        <f t="shared" si="2"/>
        <v>0</v>
      </c>
      <c r="N27" s="9"/>
    </row>
    <row r="28" spans="1:14">
      <c r="A28" s="8">
        <v>18</v>
      </c>
      <c r="B28" s="536" t="s">
        <v>1002</v>
      </c>
      <c r="C28" s="537">
        <v>666</v>
      </c>
      <c r="D28" s="537">
        <v>189</v>
      </c>
      <c r="E28" s="537">
        <v>0</v>
      </c>
      <c r="F28" s="537">
        <v>0</v>
      </c>
      <c r="G28" s="537">
        <f t="shared" si="0"/>
        <v>855</v>
      </c>
      <c r="H28" s="537">
        <v>666</v>
      </c>
      <c r="I28" s="537">
        <v>189</v>
      </c>
      <c r="J28" s="537">
        <v>0</v>
      </c>
      <c r="K28" s="537">
        <v>0</v>
      </c>
      <c r="L28" s="537">
        <f t="shared" si="1"/>
        <v>855</v>
      </c>
      <c r="M28" s="537">
        <f t="shared" si="2"/>
        <v>0</v>
      </c>
      <c r="N28" s="9"/>
    </row>
    <row r="29" spans="1:14">
      <c r="A29" s="8">
        <v>19</v>
      </c>
      <c r="B29" s="536" t="s">
        <v>1010</v>
      </c>
      <c r="C29" s="537">
        <v>362</v>
      </c>
      <c r="D29" s="537">
        <v>163</v>
      </c>
      <c r="E29" s="537">
        <v>0</v>
      </c>
      <c r="F29" s="537">
        <v>0</v>
      </c>
      <c r="G29" s="537">
        <f t="shared" si="0"/>
        <v>525</v>
      </c>
      <c r="H29" s="537">
        <v>362</v>
      </c>
      <c r="I29" s="537">
        <v>163</v>
      </c>
      <c r="J29" s="537">
        <v>0</v>
      </c>
      <c r="K29" s="537">
        <v>0</v>
      </c>
      <c r="L29" s="537">
        <f t="shared" si="1"/>
        <v>525</v>
      </c>
      <c r="M29" s="537">
        <f t="shared" si="2"/>
        <v>0</v>
      </c>
      <c r="N29" s="9"/>
    </row>
    <row r="30" spans="1:14">
      <c r="A30" s="8">
        <v>20</v>
      </c>
      <c r="B30" s="536" t="s">
        <v>1003</v>
      </c>
      <c r="C30" s="537">
        <v>541</v>
      </c>
      <c r="D30" s="537">
        <v>97</v>
      </c>
      <c r="E30" s="537">
        <v>0</v>
      </c>
      <c r="F30" s="537">
        <v>0</v>
      </c>
      <c r="G30" s="537">
        <f t="shared" si="0"/>
        <v>638</v>
      </c>
      <c r="H30" s="537">
        <v>541</v>
      </c>
      <c r="I30" s="537">
        <v>97</v>
      </c>
      <c r="J30" s="537">
        <v>0</v>
      </c>
      <c r="K30" s="537">
        <v>0</v>
      </c>
      <c r="L30" s="537">
        <f t="shared" si="1"/>
        <v>638</v>
      </c>
      <c r="M30" s="537">
        <f t="shared" si="2"/>
        <v>0</v>
      </c>
      <c r="N30" s="9"/>
    </row>
    <row r="31" spans="1:14">
      <c r="A31" s="8">
        <v>21</v>
      </c>
      <c r="B31" s="536" t="s">
        <v>1012</v>
      </c>
      <c r="C31" s="537">
        <v>480</v>
      </c>
      <c r="D31" s="537">
        <v>12</v>
      </c>
      <c r="E31" s="537">
        <v>0</v>
      </c>
      <c r="F31" s="537">
        <v>0</v>
      </c>
      <c r="G31" s="537">
        <f t="shared" si="0"/>
        <v>492</v>
      </c>
      <c r="H31" s="537">
        <v>480</v>
      </c>
      <c r="I31" s="537">
        <v>12</v>
      </c>
      <c r="J31" s="537">
        <v>0</v>
      </c>
      <c r="K31" s="537">
        <v>0</v>
      </c>
      <c r="L31" s="537">
        <f t="shared" si="1"/>
        <v>492</v>
      </c>
      <c r="M31" s="537">
        <f t="shared" si="2"/>
        <v>0</v>
      </c>
      <c r="N31" s="9"/>
    </row>
    <row r="32" spans="1:14">
      <c r="A32" s="8">
        <v>22</v>
      </c>
      <c r="B32" s="536" t="s">
        <v>1011</v>
      </c>
      <c r="C32" s="537">
        <v>505</v>
      </c>
      <c r="D32" s="537">
        <v>14</v>
      </c>
      <c r="E32" s="537">
        <v>0</v>
      </c>
      <c r="F32" s="537">
        <v>0</v>
      </c>
      <c r="G32" s="537">
        <f t="shared" si="0"/>
        <v>519</v>
      </c>
      <c r="H32" s="537">
        <v>505</v>
      </c>
      <c r="I32" s="537">
        <v>14</v>
      </c>
      <c r="J32" s="537">
        <v>0</v>
      </c>
      <c r="K32" s="537">
        <v>0</v>
      </c>
      <c r="L32" s="537">
        <f t="shared" si="1"/>
        <v>519</v>
      </c>
      <c r="M32" s="537">
        <f t="shared" si="2"/>
        <v>0</v>
      </c>
      <c r="N32" s="9"/>
    </row>
    <row r="33" spans="1:14">
      <c r="A33" s="8">
        <v>23</v>
      </c>
      <c r="B33" s="536" t="s">
        <v>1005</v>
      </c>
      <c r="C33" s="537">
        <v>707</v>
      </c>
      <c r="D33" s="537">
        <v>59</v>
      </c>
      <c r="E33" s="537">
        <v>0</v>
      </c>
      <c r="F33" s="537">
        <v>0</v>
      </c>
      <c r="G33" s="537">
        <f t="shared" si="0"/>
        <v>766</v>
      </c>
      <c r="H33" s="537">
        <v>707</v>
      </c>
      <c r="I33" s="537">
        <v>59</v>
      </c>
      <c r="J33" s="537">
        <v>0</v>
      </c>
      <c r="K33" s="537">
        <v>0</v>
      </c>
      <c r="L33" s="537">
        <f t="shared" si="1"/>
        <v>766</v>
      </c>
      <c r="M33" s="537">
        <f t="shared" si="2"/>
        <v>0</v>
      </c>
      <c r="N33" s="9"/>
    </row>
    <row r="34" spans="1:14">
      <c r="A34" s="8">
        <v>24</v>
      </c>
      <c r="B34" s="536" t="s">
        <v>972</v>
      </c>
      <c r="C34" s="537">
        <v>429</v>
      </c>
      <c r="D34" s="537">
        <v>44</v>
      </c>
      <c r="E34" s="537">
        <v>0</v>
      </c>
      <c r="F34" s="537">
        <v>0</v>
      </c>
      <c r="G34" s="537">
        <f t="shared" si="0"/>
        <v>473</v>
      </c>
      <c r="H34" s="537">
        <v>429</v>
      </c>
      <c r="I34" s="537">
        <v>44</v>
      </c>
      <c r="J34" s="537">
        <v>0</v>
      </c>
      <c r="K34" s="537">
        <v>0</v>
      </c>
      <c r="L34" s="537">
        <f t="shared" si="1"/>
        <v>473</v>
      </c>
      <c r="M34" s="537">
        <f t="shared" si="2"/>
        <v>0</v>
      </c>
      <c r="N34" s="9"/>
    </row>
    <row r="35" spans="1:14">
      <c r="A35" s="8">
        <v>25</v>
      </c>
      <c r="B35" s="536" t="s">
        <v>999</v>
      </c>
      <c r="C35" s="537">
        <v>839</v>
      </c>
      <c r="D35" s="537">
        <v>52</v>
      </c>
      <c r="E35" s="537">
        <v>0</v>
      </c>
      <c r="F35" s="537">
        <v>0</v>
      </c>
      <c r="G35" s="537">
        <f t="shared" si="0"/>
        <v>891</v>
      </c>
      <c r="H35" s="537">
        <v>839</v>
      </c>
      <c r="I35" s="537">
        <v>52</v>
      </c>
      <c r="J35" s="537">
        <v>0</v>
      </c>
      <c r="K35" s="537">
        <v>0</v>
      </c>
      <c r="L35" s="537">
        <f t="shared" si="1"/>
        <v>891</v>
      </c>
      <c r="M35" s="537">
        <f t="shared" si="2"/>
        <v>0</v>
      </c>
      <c r="N35" s="9"/>
    </row>
    <row r="36" spans="1:14">
      <c r="A36" s="8">
        <v>26</v>
      </c>
      <c r="B36" s="536" t="s">
        <v>973</v>
      </c>
      <c r="C36" s="537">
        <v>1059</v>
      </c>
      <c r="D36" s="537">
        <v>139</v>
      </c>
      <c r="E36" s="537">
        <v>0</v>
      </c>
      <c r="F36" s="537">
        <v>0</v>
      </c>
      <c r="G36" s="537">
        <f t="shared" si="0"/>
        <v>1198</v>
      </c>
      <c r="H36" s="537">
        <v>1059</v>
      </c>
      <c r="I36" s="537">
        <v>139</v>
      </c>
      <c r="J36" s="537">
        <v>0</v>
      </c>
      <c r="K36" s="537">
        <v>0</v>
      </c>
      <c r="L36" s="537">
        <f t="shared" si="1"/>
        <v>1198</v>
      </c>
      <c r="M36" s="537">
        <f t="shared" si="2"/>
        <v>0</v>
      </c>
      <c r="N36" s="9"/>
    </row>
    <row r="37" spans="1:14">
      <c r="A37" s="8">
        <v>27</v>
      </c>
      <c r="B37" s="536" t="s">
        <v>974</v>
      </c>
      <c r="C37" s="537">
        <v>827</v>
      </c>
      <c r="D37" s="537">
        <v>103</v>
      </c>
      <c r="E37" s="537">
        <v>0</v>
      </c>
      <c r="F37" s="537">
        <v>0</v>
      </c>
      <c r="G37" s="537">
        <f t="shared" si="0"/>
        <v>930</v>
      </c>
      <c r="H37" s="537">
        <v>827</v>
      </c>
      <c r="I37" s="537">
        <v>103</v>
      </c>
      <c r="J37" s="537">
        <v>0</v>
      </c>
      <c r="K37" s="537">
        <v>0</v>
      </c>
      <c r="L37" s="537">
        <f t="shared" si="1"/>
        <v>930</v>
      </c>
      <c r="M37" s="537">
        <f t="shared" si="2"/>
        <v>0</v>
      </c>
      <c r="N37" s="9"/>
    </row>
    <row r="38" spans="1:14">
      <c r="A38" s="8">
        <v>28</v>
      </c>
      <c r="B38" s="536" t="s">
        <v>975</v>
      </c>
      <c r="C38" s="537">
        <v>1022</v>
      </c>
      <c r="D38" s="537">
        <v>113</v>
      </c>
      <c r="E38" s="537">
        <v>0</v>
      </c>
      <c r="F38" s="537">
        <v>0</v>
      </c>
      <c r="G38" s="537">
        <f t="shared" si="0"/>
        <v>1135</v>
      </c>
      <c r="H38" s="537">
        <v>1022</v>
      </c>
      <c r="I38" s="537">
        <v>113</v>
      </c>
      <c r="J38" s="537">
        <v>0</v>
      </c>
      <c r="K38" s="537">
        <v>0</v>
      </c>
      <c r="L38" s="537">
        <f t="shared" si="1"/>
        <v>1135</v>
      </c>
      <c r="M38" s="537">
        <f t="shared" si="2"/>
        <v>0</v>
      </c>
      <c r="N38" s="9"/>
    </row>
    <row r="39" spans="1:14">
      <c r="A39" s="8">
        <v>29</v>
      </c>
      <c r="B39" s="536" t="s">
        <v>1000</v>
      </c>
      <c r="C39" s="537">
        <v>730</v>
      </c>
      <c r="D39" s="537">
        <v>203</v>
      </c>
      <c r="E39" s="537">
        <v>0</v>
      </c>
      <c r="F39" s="537">
        <v>0</v>
      </c>
      <c r="G39" s="537">
        <f t="shared" si="0"/>
        <v>933</v>
      </c>
      <c r="H39" s="537">
        <v>730</v>
      </c>
      <c r="I39" s="537">
        <v>203</v>
      </c>
      <c r="J39" s="537">
        <v>0</v>
      </c>
      <c r="K39" s="537">
        <v>0</v>
      </c>
      <c r="L39" s="537">
        <f t="shared" si="1"/>
        <v>933</v>
      </c>
      <c r="M39" s="537">
        <f t="shared" si="2"/>
        <v>0</v>
      </c>
      <c r="N39" s="9"/>
    </row>
    <row r="40" spans="1:14">
      <c r="A40" s="8">
        <v>30</v>
      </c>
      <c r="B40" s="536" t="s">
        <v>976</v>
      </c>
      <c r="C40" s="537">
        <v>960</v>
      </c>
      <c r="D40" s="537">
        <v>86</v>
      </c>
      <c r="E40" s="537">
        <v>0</v>
      </c>
      <c r="F40" s="537">
        <v>0</v>
      </c>
      <c r="G40" s="537">
        <f t="shared" si="0"/>
        <v>1046</v>
      </c>
      <c r="H40" s="537">
        <v>960</v>
      </c>
      <c r="I40" s="537">
        <v>86</v>
      </c>
      <c r="J40" s="537">
        <v>0</v>
      </c>
      <c r="K40" s="537">
        <v>0</v>
      </c>
      <c r="L40" s="537">
        <f t="shared" si="1"/>
        <v>1046</v>
      </c>
      <c r="M40" s="537">
        <f t="shared" si="2"/>
        <v>0</v>
      </c>
      <c r="N40" s="9"/>
    </row>
    <row r="41" spans="1:14">
      <c r="A41" s="8">
        <v>31</v>
      </c>
      <c r="B41" s="536" t="s">
        <v>977</v>
      </c>
      <c r="C41" s="537">
        <v>983</v>
      </c>
      <c r="D41" s="537">
        <v>199</v>
      </c>
      <c r="E41" s="537">
        <v>0</v>
      </c>
      <c r="F41" s="537">
        <v>0</v>
      </c>
      <c r="G41" s="537">
        <f t="shared" si="0"/>
        <v>1182</v>
      </c>
      <c r="H41" s="537">
        <v>983</v>
      </c>
      <c r="I41" s="537">
        <v>199</v>
      </c>
      <c r="J41" s="537">
        <v>0</v>
      </c>
      <c r="K41" s="537">
        <v>0</v>
      </c>
      <c r="L41" s="537">
        <f t="shared" si="1"/>
        <v>1182</v>
      </c>
      <c r="M41" s="537">
        <f t="shared" si="2"/>
        <v>0</v>
      </c>
      <c r="N41" s="9"/>
    </row>
    <row r="42" spans="1:14">
      <c r="A42" s="8">
        <v>32</v>
      </c>
      <c r="B42" s="536" t="s">
        <v>978</v>
      </c>
      <c r="C42" s="537">
        <v>567</v>
      </c>
      <c r="D42" s="537">
        <v>30</v>
      </c>
      <c r="E42" s="537">
        <v>0</v>
      </c>
      <c r="F42" s="537">
        <v>0</v>
      </c>
      <c r="G42" s="537">
        <f t="shared" si="0"/>
        <v>597</v>
      </c>
      <c r="H42" s="537">
        <v>567</v>
      </c>
      <c r="I42" s="537">
        <v>30</v>
      </c>
      <c r="J42" s="537">
        <v>0</v>
      </c>
      <c r="K42" s="537">
        <v>0</v>
      </c>
      <c r="L42" s="537">
        <f t="shared" si="1"/>
        <v>597</v>
      </c>
      <c r="M42" s="537">
        <f t="shared" si="2"/>
        <v>0</v>
      </c>
      <c r="N42" s="9"/>
    </row>
    <row r="43" spans="1:14">
      <c r="A43" s="8">
        <v>33</v>
      </c>
      <c r="B43" s="536" t="s">
        <v>979</v>
      </c>
      <c r="C43" s="537">
        <v>775</v>
      </c>
      <c r="D43" s="537">
        <v>47</v>
      </c>
      <c r="E43" s="537">
        <v>0</v>
      </c>
      <c r="F43" s="537">
        <v>2</v>
      </c>
      <c r="G43" s="537">
        <f t="shared" si="0"/>
        <v>824</v>
      </c>
      <c r="H43" s="537">
        <v>775</v>
      </c>
      <c r="I43" s="537">
        <v>47</v>
      </c>
      <c r="J43" s="537">
        <v>0</v>
      </c>
      <c r="K43" s="537">
        <v>2</v>
      </c>
      <c r="L43" s="537">
        <f t="shared" si="1"/>
        <v>824</v>
      </c>
      <c r="M43" s="537">
        <f t="shared" si="2"/>
        <v>0</v>
      </c>
      <c r="N43" s="9"/>
    </row>
    <row r="44" spans="1:14">
      <c r="A44" s="8">
        <v>34</v>
      </c>
      <c r="B44" s="536" t="s">
        <v>980</v>
      </c>
      <c r="C44" s="537">
        <v>463</v>
      </c>
      <c r="D44" s="537">
        <v>39</v>
      </c>
      <c r="E44" s="537">
        <v>0</v>
      </c>
      <c r="F44" s="537">
        <v>0</v>
      </c>
      <c r="G44" s="537">
        <f t="shared" si="0"/>
        <v>502</v>
      </c>
      <c r="H44" s="537">
        <v>463</v>
      </c>
      <c r="I44" s="537">
        <v>39</v>
      </c>
      <c r="J44" s="537">
        <v>0</v>
      </c>
      <c r="K44" s="537">
        <v>0</v>
      </c>
      <c r="L44" s="537">
        <f t="shared" si="1"/>
        <v>502</v>
      </c>
      <c r="M44" s="537">
        <f t="shared" si="2"/>
        <v>0</v>
      </c>
      <c r="N44" s="9"/>
    </row>
    <row r="45" spans="1:14">
      <c r="A45" s="3" t="s">
        <v>17</v>
      </c>
      <c r="B45" s="9"/>
      <c r="C45" s="9">
        <f>SUM(C11:C44)</f>
        <v>22313</v>
      </c>
      <c r="D45" s="9">
        <f>SUM(D11:D44)</f>
        <v>2665</v>
      </c>
      <c r="E45" s="9">
        <f>SUM(E11:E44)</f>
        <v>0</v>
      </c>
      <c r="F45" s="9">
        <f>SUM(F11:F44)</f>
        <v>14</v>
      </c>
      <c r="G45" s="9">
        <f t="shared" si="0"/>
        <v>24992</v>
      </c>
      <c r="H45" s="9">
        <f>SUM(H11:H44)</f>
        <v>22313</v>
      </c>
      <c r="I45" s="9">
        <f t="shared" ref="I45" si="3">SUM(I11:I44)</f>
        <v>2665</v>
      </c>
      <c r="J45" s="9">
        <f t="shared" ref="J45" si="4">SUM(J11:J44)</f>
        <v>0</v>
      </c>
      <c r="K45" s="9">
        <f t="shared" ref="K45" si="5">SUM(K11:K44)</f>
        <v>14</v>
      </c>
      <c r="L45" s="9">
        <f t="shared" ref="L45:M45" si="6">SUM(L11:L44)</f>
        <v>24992</v>
      </c>
      <c r="M45" s="9">
        <f t="shared" si="6"/>
        <v>0</v>
      </c>
      <c r="N45" s="9"/>
    </row>
    <row r="46" spans="1:14">
      <c r="A46" s="11"/>
      <c r="B46" s="12"/>
      <c r="C46" s="12"/>
      <c r="D46" s="12"/>
      <c r="E46" s="12"/>
      <c r="F46" s="12"/>
      <c r="G46" s="12"/>
      <c r="H46" s="12"/>
      <c r="I46" s="12"/>
      <c r="J46" s="12"/>
      <c r="K46" s="12"/>
      <c r="L46" s="12"/>
      <c r="M46" s="12"/>
      <c r="N46" s="12"/>
    </row>
    <row r="47" spans="1:14">
      <c r="A47" s="10" t="s">
        <v>7</v>
      </c>
    </row>
    <row r="48" spans="1:14">
      <c r="A48" t="s">
        <v>8</v>
      </c>
    </row>
    <row r="49" spans="1:14">
      <c r="A49" t="s">
        <v>9</v>
      </c>
      <c r="L49" s="11" t="s">
        <v>10</v>
      </c>
      <c r="M49" s="11"/>
      <c r="N49" s="11" t="s">
        <v>10</v>
      </c>
    </row>
    <row r="50" spans="1:14">
      <c r="A50" s="15" t="s">
        <v>430</v>
      </c>
      <c r="J50" s="11"/>
      <c r="K50" s="11"/>
      <c r="L50" s="11"/>
    </row>
    <row r="51" spans="1:14">
      <c r="C51" s="15" t="s">
        <v>431</v>
      </c>
      <c r="E51" s="12"/>
      <c r="F51" s="12"/>
      <c r="G51" s="12"/>
      <c r="H51" s="12"/>
      <c r="I51" s="12"/>
      <c r="J51" s="12"/>
      <c r="K51" s="12"/>
      <c r="L51" s="12"/>
      <c r="M51" s="12"/>
    </row>
    <row r="52" spans="1:14">
      <c r="E52" s="12"/>
      <c r="F52" s="12"/>
      <c r="G52" s="12"/>
      <c r="H52" s="12"/>
      <c r="I52" s="12"/>
      <c r="J52" s="12"/>
      <c r="K52" s="12"/>
      <c r="L52" s="12"/>
      <c r="M52" s="12"/>
      <c r="N52" s="12"/>
    </row>
    <row r="54" spans="1:14" ht="15.75">
      <c r="A54" s="803" t="s">
        <v>906</v>
      </c>
      <c r="B54" s="803"/>
      <c r="C54" s="803"/>
      <c r="D54" s="803"/>
      <c r="E54" s="13"/>
      <c r="F54" s="13"/>
      <c r="G54" s="13"/>
      <c r="H54" s="804" t="s">
        <v>12</v>
      </c>
      <c r="I54" s="804"/>
      <c r="J54" s="804"/>
      <c r="K54" s="804"/>
      <c r="L54" s="804"/>
      <c r="M54" s="375"/>
      <c r="N54" s="375"/>
    </row>
    <row r="55" spans="1:14" ht="15.75">
      <c r="A55" s="804" t="s">
        <v>907</v>
      </c>
      <c r="B55" s="804"/>
      <c r="C55" s="804"/>
      <c r="D55" s="804"/>
      <c r="E55" s="375"/>
      <c r="F55" s="375"/>
      <c r="G55" s="375"/>
      <c r="H55" s="804" t="s">
        <v>13</v>
      </c>
      <c r="I55" s="804"/>
      <c r="J55" s="804"/>
      <c r="K55" s="804"/>
      <c r="L55" s="804"/>
      <c r="M55" s="375"/>
      <c r="N55" s="375"/>
    </row>
    <row r="56" spans="1:14" ht="15.75">
      <c r="A56" s="804" t="s">
        <v>908</v>
      </c>
      <c r="B56" s="804"/>
      <c r="C56" s="804"/>
      <c r="D56" s="804"/>
      <c r="E56" s="375"/>
      <c r="F56" s="375"/>
      <c r="G56" s="375"/>
      <c r="H56" s="804" t="s">
        <v>18</v>
      </c>
      <c r="I56" s="804"/>
      <c r="J56" s="804"/>
      <c r="K56" s="804"/>
      <c r="L56" s="804"/>
      <c r="M56" s="375"/>
      <c r="N56" s="375"/>
    </row>
    <row r="57" spans="1:14">
      <c r="A57" s="204" t="s">
        <v>11</v>
      </c>
      <c r="H57" s="14"/>
      <c r="I57" s="14"/>
      <c r="J57" s="371" t="s">
        <v>84</v>
      </c>
      <c r="K57" s="371"/>
      <c r="L57" s="371"/>
      <c r="M57" s="33"/>
      <c r="N57" s="33"/>
    </row>
  </sheetData>
  <mergeCells count="18">
    <mergeCell ref="D1:J1"/>
    <mergeCell ref="A2:N2"/>
    <mergeCell ref="A3:N3"/>
    <mergeCell ref="A5:N5"/>
    <mergeCell ref="L7:N7"/>
    <mergeCell ref="A7:B7"/>
    <mergeCell ref="H56:L56"/>
    <mergeCell ref="M8:M9"/>
    <mergeCell ref="N8:N9"/>
    <mergeCell ref="A8:A9"/>
    <mergeCell ref="B8:B9"/>
    <mergeCell ref="C8:G8"/>
    <mergeCell ref="H8:L8"/>
    <mergeCell ref="A54:D54"/>
    <mergeCell ref="H54:L54"/>
    <mergeCell ref="A55:D55"/>
    <mergeCell ref="H55:L55"/>
    <mergeCell ref="A56:D56"/>
  </mergeCells>
  <phoneticPr fontId="0" type="noConversion"/>
  <printOptions horizontalCentered="1"/>
  <pageMargins left="0.70866141732283472" right="0.70866141732283472" top="0.23622047244094491" bottom="0" header="0.31496062992125984" footer="0.31496062992125984"/>
  <pageSetup paperSize="9" scale="74" orientation="landscape"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S57"/>
  <sheetViews>
    <sheetView view="pageBreakPreview" topLeftCell="A22" zoomScale="80" zoomScaleSheetLayoutView="80" workbookViewId="0">
      <selection activeCell="C31" sqref="C31:M31"/>
    </sheetView>
  </sheetViews>
  <sheetFormatPr defaultRowHeight="12.75"/>
  <cols>
    <col min="1" max="1" width="9.42578125" customWidth="1"/>
    <col min="2" max="2" width="23" customWidth="1"/>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14.140625" customWidth="1"/>
  </cols>
  <sheetData>
    <row r="1" spans="1:19" ht="12.75" customHeight="1">
      <c r="D1" s="803"/>
      <c r="E1" s="803"/>
      <c r="F1" s="803"/>
      <c r="G1" s="803"/>
      <c r="H1" s="803"/>
      <c r="I1" s="803"/>
      <c r="J1" s="803"/>
      <c r="M1" s="103" t="s">
        <v>251</v>
      </c>
    </row>
    <row r="2" spans="1:19" ht="15">
      <c r="A2" s="920" t="s">
        <v>0</v>
      </c>
      <c r="B2" s="920"/>
      <c r="C2" s="920"/>
      <c r="D2" s="920"/>
      <c r="E2" s="920"/>
      <c r="F2" s="920"/>
      <c r="G2" s="920"/>
      <c r="H2" s="920"/>
      <c r="I2" s="920"/>
      <c r="J2" s="920"/>
      <c r="K2" s="920"/>
      <c r="L2" s="920"/>
      <c r="M2" s="920"/>
      <c r="N2" s="920"/>
    </row>
    <row r="3" spans="1:19" ht="20.25">
      <c r="A3" s="848" t="s">
        <v>745</v>
      </c>
      <c r="B3" s="848"/>
      <c r="C3" s="848"/>
      <c r="D3" s="848"/>
      <c r="E3" s="848"/>
      <c r="F3" s="848"/>
      <c r="G3" s="848"/>
      <c r="H3" s="848"/>
      <c r="I3" s="848"/>
      <c r="J3" s="848"/>
      <c r="K3" s="848"/>
      <c r="L3" s="848"/>
      <c r="M3" s="848"/>
      <c r="N3" s="848"/>
    </row>
    <row r="4" spans="1:19" ht="11.25" customHeight="1"/>
    <row r="5" spans="1:19" ht="15.75">
      <c r="A5" s="849" t="s">
        <v>800</v>
      </c>
      <c r="B5" s="849"/>
      <c r="C5" s="849"/>
      <c r="D5" s="849"/>
      <c r="E5" s="849"/>
      <c r="F5" s="849"/>
      <c r="G5" s="849"/>
      <c r="H5" s="849"/>
      <c r="I5" s="849"/>
      <c r="J5" s="849"/>
      <c r="K5" s="849"/>
      <c r="L5" s="849"/>
      <c r="M5" s="849"/>
      <c r="N5" s="849"/>
    </row>
    <row r="7" spans="1:19">
      <c r="A7" s="850" t="s">
        <v>949</v>
      </c>
      <c r="B7" s="850"/>
      <c r="L7" s="916" t="s">
        <v>831</v>
      </c>
      <c r="M7" s="916"/>
      <c r="N7" s="916"/>
      <c r="O7" s="112"/>
    </row>
    <row r="8" spans="1:19" ht="15.75" customHeight="1">
      <c r="A8" s="917" t="s">
        <v>2</v>
      </c>
      <c r="B8" s="917" t="s">
        <v>3</v>
      </c>
      <c r="C8" s="828" t="s">
        <v>4</v>
      </c>
      <c r="D8" s="828"/>
      <c r="E8" s="828"/>
      <c r="F8" s="815"/>
      <c r="G8" s="815"/>
      <c r="H8" s="828" t="s">
        <v>104</v>
      </c>
      <c r="I8" s="828"/>
      <c r="J8" s="828"/>
      <c r="K8" s="828"/>
      <c r="L8" s="828"/>
      <c r="M8" s="917" t="s">
        <v>134</v>
      </c>
      <c r="N8" s="834" t="s">
        <v>135</v>
      </c>
    </row>
    <row r="9" spans="1:19" ht="51">
      <c r="A9" s="918"/>
      <c r="B9" s="918"/>
      <c r="C9" s="5" t="s">
        <v>5</v>
      </c>
      <c r="D9" s="5" t="s">
        <v>6</v>
      </c>
      <c r="E9" s="5" t="s">
        <v>357</v>
      </c>
      <c r="F9" s="5" t="s">
        <v>102</v>
      </c>
      <c r="G9" s="5" t="s">
        <v>117</v>
      </c>
      <c r="H9" s="5" t="s">
        <v>5</v>
      </c>
      <c r="I9" s="5" t="s">
        <v>6</v>
      </c>
      <c r="J9" s="5" t="s">
        <v>357</v>
      </c>
      <c r="K9" s="7" t="s">
        <v>102</v>
      </c>
      <c r="L9" s="7" t="s">
        <v>118</v>
      </c>
      <c r="M9" s="918"/>
      <c r="N9" s="834"/>
      <c r="R9" s="9"/>
      <c r="S9" s="12"/>
    </row>
    <row r="10" spans="1:19" s="14" customFormat="1">
      <c r="A10" s="5">
        <v>1</v>
      </c>
      <c r="B10" s="5">
        <v>2</v>
      </c>
      <c r="C10" s="5">
        <v>3</v>
      </c>
      <c r="D10" s="5">
        <v>4</v>
      </c>
      <c r="E10" s="5">
        <v>5</v>
      </c>
      <c r="F10" s="5">
        <v>6</v>
      </c>
      <c r="G10" s="5">
        <v>7</v>
      </c>
      <c r="H10" s="5">
        <v>8</v>
      </c>
      <c r="I10" s="5">
        <v>9</v>
      </c>
      <c r="J10" s="5">
        <v>10</v>
      </c>
      <c r="K10" s="3">
        <v>11</v>
      </c>
      <c r="L10" s="111">
        <v>12</v>
      </c>
      <c r="M10" s="111">
        <v>13</v>
      </c>
      <c r="N10" s="3">
        <v>14</v>
      </c>
    </row>
    <row r="11" spans="1:19">
      <c r="A11" s="8">
        <v>1</v>
      </c>
      <c r="B11" s="536" t="s">
        <v>961</v>
      </c>
      <c r="C11" s="537">
        <v>74</v>
      </c>
      <c r="D11" s="537">
        <v>117</v>
      </c>
      <c r="E11" s="537">
        <v>0</v>
      </c>
      <c r="F11" s="537">
        <v>0</v>
      </c>
      <c r="G11" s="537">
        <f t="shared" ref="G11:G45" si="0">SUM(C11:F11)</f>
        <v>191</v>
      </c>
      <c r="H11" s="468">
        <v>74</v>
      </c>
      <c r="I11" s="468">
        <v>117</v>
      </c>
      <c r="J11" s="468">
        <v>0</v>
      </c>
      <c r="K11" s="468">
        <v>0</v>
      </c>
      <c r="L11" s="9">
        <f t="shared" ref="L11:L44" si="1">SUM(H11:K11)</f>
        <v>191</v>
      </c>
      <c r="M11" s="9">
        <f t="shared" ref="M11:M44" si="2">G11-L11</f>
        <v>0</v>
      </c>
      <c r="N11" s="9"/>
    </row>
    <row r="12" spans="1:19">
      <c r="A12" s="8">
        <v>2</v>
      </c>
      <c r="B12" s="536" t="s">
        <v>962</v>
      </c>
      <c r="C12" s="537">
        <v>106</v>
      </c>
      <c r="D12" s="537">
        <v>144</v>
      </c>
      <c r="E12" s="537">
        <v>0</v>
      </c>
      <c r="F12" s="537">
        <v>0</v>
      </c>
      <c r="G12" s="537">
        <f t="shared" si="0"/>
        <v>250</v>
      </c>
      <c r="H12" s="468">
        <v>106</v>
      </c>
      <c r="I12" s="468">
        <v>144</v>
      </c>
      <c r="J12" s="468">
        <v>0</v>
      </c>
      <c r="K12" s="468">
        <v>0</v>
      </c>
      <c r="L12" s="9">
        <f t="shared" si="1"/>
        <v>250</v>
      </c>
      <c r="M12" s="9">
        <f t="shared" si="2"/>
        <v>0</v>
      </c>
      <c r="N12" s="9"/>
    </row>
    <row r="13" spans="1:19">
      <c r="A13" s="8">
        <v>3</v>
      </c>
      <c r="B13" s="536" t="s">
        <v>963</v>
      </c>
      <c r="C13" s="537">
        <v>120</v>
      </c>
      <c r="D13" s="537">
        <v>204</v>
      </c>
      <c r="E13" s="537">
        <v>0</v>
      </c>
      <c r="F13" s="537">
        <v>0</v>
      </c>
      <c r="G13" s="537">
        <f t="shared" si="0"/>
        <v>324</v>
      </c>
      <c r="H13" s="468">
        <v>120</v>
      </c>
      <c r="I13" s="468">
        <v>204</v>
      </c>
      <c r="J13" s="468">
        <v>0</v>
      </c>
      <c r="K13" s="468">
        <v>0</v>
      </c>
      <c r="L13" s="9">
        <f t="shared" si="1"/>
        <v>324</v>
      </c>
      <c r="M13" s="9">
        <f t="shared" si="2"/>
        <v>0</v>
      </c>
      <c r="N13" s="9"/>
    </row>
    <row r="14" spans="1:19">
      <c r="A14" s="8">
        <v>4</v>
      </c>
      <c r="B14" s="536" t="s">
        <v>964</v>
      </c>
      <c r="C14" s="537">
        <v>136</v>
      </c>
      <c r="D14" s="537">
        <v>176</v>
      </c>
      <c r="E14" s="537">
        <v>0</v>
      </c>
      <c r="F14" s="537">
        <v>0</v>
      </c>
      <c r="G14" s="537">
        <f t="shared" si="0"/>
        <v>312</v>
      </c>
      <c r="H14" s="468">
        <v>136</v>
      </c>
      <c r="I14" s="468">
        <v>176</v>
      </c>
      <c r="J14" s="468">
        <v>0</v>
      </c>
      <c r="K14" s="468">
        <v>0</v>
      </c>
      <c r="L14" s="9">
        <f t="shared" si="1"/>
        <v>312</v>
      </c>
      <c r="M14" s="9">
        <f t="shared" si="2"/>
        <v>0</v>
      </c>
      <c r="N14" s="9"/>
    </row>
    <row r="15" spans="1:19">
      <c r="A15" s="8">
        <v>5</v>
      </c>
      <c r="B15" s="536" t="s">
        <v>1009</v>
      </c>
      <c r="C15" s="468">
        <v>160</v>
      </c>
      <c r="D15" s="468">
        <v>146</v>
      </c>
      <c r="E15" s="468">
        <v>0</v>
      </c>
      <c r="F15" s="468">
        <v>0</v>
      </c>
      <c r="G15" s="468">
        <f t="shared" si="0"/>
        <v>306</v>
      </c>
      <c r="H15" s="468">
        <v>160</v>
      </c>
      <c r="I15" s="468">
        <v>146</v>
      </c>
      <c r="J15" s="468">
        <v>0</v>
      </c>
      <c r="K15" s="468">
        <v>0</v>
      </c>
      <c r="L15" s="9">
        <f t="shared" si="1"/>
        <v>306</v>
      </c>
      <c r="M15" s="9">
        <f t="shared" si="2"/>
        <v>0</v>
      </c>
      <c r="N15" s="9"/>
    </row>
    <row r="16" spans="1:19">
      <c r="A16" s="8">
        <v>6</v>
      </c>
      <c r="B16" s="536" t="s">
        <v>965</v>
      </c>
      <c r="C16" s="537">
        <v>61</v>
      </c>
      <c r="D16" s="537">
        <v>49</v>
      </c>
      <c r="E16" s="537">
        <v>3</v>
      </c>
      <c r="F16" s="537">
        <v>0</v>
      </c>
      <c r="G16" s="537">
        <f t="shared" si="0"/>
        <v>113</v>
      </c>
      <c r="H16" s="468">
        <v>61</v>
      </c>
      <c r="I16" s="468">
        <v>49</v>
      </c>
      <c r="J16" s="468">
        <v>3</v>
      </c>
      <c r="K16" s="468">
        <v>0</v>
      </c>
      <c r="L16" s="9">
        <f t="shared" si="1"/>
        <v>113</v>
      </c>
      <c r="M16" s="9">
        <f t="shared" si="2"/>
        <v>0</v>
      </c>
      <c r="N16" s="9"/>
    </row>
    <row r="17" spans="1:14">
      <c r="A17" s="8">
        <v>7</v>
      </c>
      <c r="B17" s="536" t="s">
        <v>966</v>
      </c>
      <c r="C17" s="468">
        <v>110</v>
      </c>
      <c r="D17" s="468">
        <v>74</v>
      </c>
      <c r="E17" s="468">
        <v>0</v>
      </c>
      <c r="F17" s="468">
        <v>0</v>
      </c>
      <c r="G17" s="468">
        <f t="shared" si="0"/>
        <v>184</v>
      </c>
      <c r="H17" s="468">
        <v>110</v>
      </c>
      <c r="I17" s="468">
        <v>74</v>
      </c>
      <c r="J17" s="468">
        <v>0</v>
      </c>
      <c r="K17" s="468">
        <v>0</v>
      </c>
      <c r="L17" s="9">
        <f t="shared" si="1"/>
        <v>184</v>
      </c>
      <c r="M17" s="9">
        <f t="shared" si="2"/>
        <v>0</v>
      </c>
      <c r="N17" s="9"/>
    </row>
    <row r="18" spans="1:14">
      <c r="A18" s="8">
        <v>8</v>
      </c>
      <c r="B18" s="536" t="s">
        <v>967</v>
      </c>
      <c r="C18" s="468">
        <v>126</v>
      </c>
      <c r="D18" s="468">
        <v>56</v>
      </c>
      <c r="E18" s="468">
        <v>0</v>
      </c>
      <c r="F18" s="468">
        <v>0</v>
      </c>
      <c r="G18" s="468">
        <f t="shared" si="0"/>
        <v>182</v>
      </c>
      <c r="H18" s="468">
        <v>126</v>
      </c>
      <c r="I18" s="468">
        <v>56</v>
      </c>
      <c r="J18" s="468">
        <v>0</v>
      </c>
      <c r="K18" s="468">
        <v>0</v>
      </c>
      <c r="L18" s="9">
        <f t="shared" si="1"/>
        <v>182</v>
      </c>
      <c r="M18" s="9">
        <f t="shared" si="2"/>
        <v>0</v>
      </c>
      <c r="N18" s="9"/>
    </row>
    <row r="19" spans="1:14">
      <c r="A19" s="8">
        <v>9</v>
      </c>
      <c r="B19" s="536" t="s">
        <v>968</v>
      </c>
      <c r="C19" s="537">
        <v>118</v>
      </c>
      <c r="D19" s="537">
        <v>46</v>
      </c>
      <c r="E19" s="537">
        <v>0</v>
      </c>
      <c r="F19" s="537">
        <v>0</v>
      </c>
      <c r="G19" s="537">
        <f t="shared" si="0"/>
        <v>164</v>
      </c>
      <c r="H19" s="468">
        <v>118</v>
      </c>
      <c r="I19" s="468">
        <v>46</v>
      </c>
      <c r="J19" s="468">
        <v>0</v>
      </c>
      <c r="K19" s="468">
        <v>0</v>
      </c>
      <c r="L19" s="9">
        <f t="shared" si="1"/>
        <v>164</v>
      </c>
      <c r="M19" s="9">
        <f t="shared" si="2"/>
        <v>0</v>
      </c>
      <c r="N19" s="9"/>
    </row>
    <row r="20" spans="1:14">
      <c r="A20" s="8">
        <v>10</v>
      </c>
      <c r="B20" s="536" t="s">
        <v>970</v>
      </c>
      <c r="C20" s="468">
        <v>135</v>
      </c>
      <c r="D20" s="468">
        <v>208</v>
      </c>
      <c r="E20" s="468">
        <v>0</v>
      </c>
      <c r="F20" s="468">
        <v>0</v>
      </c>
      <c r="G20" s="468">
        <f t="shared" si="0"/>
        <v>343</v>
      </c>
      <c r="H20" s="468">
        <v>135</v>
      </c>
      <c r="I20" s="468">
        <v>208</v>
      </c>
      <c r="J20" s="468">
        <v>0</v>
      </c>
      <c r="K20" s="468">
        <v>0</v>
      </c>
      <c r="L20" s="9">
        <f t="shared" si="1"/>
        <v>343</v>
      </c>
      <c r="M20" s="9">
        <f t="shared" si="2"/>
        <v>0</v>
      </c>
      <c r="N20" s="9"/>
    </row>
    <row r="21" spans="1:14">
      <c r="A21" s="8">
        <v>11</v>
      </c>
      <c r="B21" s="536" t="s">
        <v>969</v>
      </c>
      <c r="C21" s="468">
        <v>103</v>
      </c>
      <c r="D21" s="468">
        <v>106</v>
      </c>
      <c r="E21" s="468">
        <v>0</v>
      </c>
      <c r="F21" s="468">
        <v>0</v>
      </c>
      <c r="G21" s="468">
        <f t="shared" si="0"/>
        <v>209</v>
      </c>
      <c r="H21" s="468">
        <v>103</v>
      </c>
      <c r="I21" s="468">
        <v>106</v>
      </c>
      <c r="J21" s="468">
        <v>0</v>
      </c>
      <c r="K21" s="468">
        <v>0</v>
      </c>
      <c r="L21" s="9">
        <f t="shared" si="1"/>
        <v>209</v>
      </c>
      <c r="M21" s="9">
        <f t="shared" si="2"/>
        <v>0</v>
      </c>
      <c r="N21" s="9"/>
    </row>
    <row r="22" spans="1:14">
      <c r="A22" s="8">
        <v>12</v>
      </c>
      <c r="B22" s="536" t="s">
        <v>1008</v>
      </c>
      <c r="C22" s="468">
        <v>224</v>
      </c>
      <c r="D22" s="468">
        <v>136</v>
      </c>
      <c r="E22" s="468">
        <v>1</v>
      </c>
      <c r="F22" s="468">
        <v>0</v>
      </c>
      <c r="G22" s="468">
        <f t="shared" si="0"/>
        <v>361</v>
      </c>
      <c r="H22" s="468">
        <v>224</v>
      </c>
      <c r="I22" s="468">
        <v>136</v>
      </c>
      <c r="J22" s="468">
        <v>1</v>
      </c>
      <c r="K22" s="468">
        <v>0</v>
      </c>
      <c r="L22" s="9">
        <f t="shared" si="1"/>
        <v>361</v>
      </c>
      <c r="M22" s="9">
        <f t="shared" si="2"/>
        <v>0</v>
      </c>
      <c r="N22" s="9"/>
    </row>
    <row r="23" spans="1:14">
      <c r="A23" s="8">
        <v>13</v>
      </c>
      <c r="B23" s="536" t="s">
        <v>1007</v>
      </c>
      <c r="C23" s="468">
        <v>220</v>
      </c>
      <c r="D23" s="468">
        <v>97</v>
      </c>
      <c r="E23" s="468">
        <v>0</v>
      </c>
      <c r="F23" s="468">
        <v>0</v>
      </c>
      <c r="G23" s="468">
        <f t="shared" si="0"/>
        <v>317</v>
      </c>
      <c r="H23" s="468">
        <v>220</v>
      </c>
      <c r="I23" s="468">
        <v>97</v>
      </c>
      <c r="J23" s="468">
        <v>0</v>
      </c>
      <c r="K23" s="468">
        <v>0</v>
      </c>
      <c r="L23" s="9">
        <f t="shared" si="1"/>
        <v>317</v>
      </c>
      <c r="M23" s="9">
        <f t="shared" si="2"/>
        <v>0</v>
      </c>
      <c r="N23" s="9"/>
    </row>
    <row r="24" spans="1:14">
      <c r="A24" s="8">
        <v>14</v>
      </c>
      <c r="B24" s="536" t="s">
        <v>971</v>
      </c>
      <c r="C24" s="537">
        <v>91</v>
      </c>
      <c r="D24" s="537">
        <v>55</v>
      </c>
      <c r="E24" s="537">
        <v>0</v>
      </c>
      <c r="F24" s="537">
        <v>0</v>
      </c>
      <c r="G24" s="537">
        <f t="shared" si="0"/>
        <v>146</v>
      </c>
      <c r="H24" s="468">
        <v>91</v>
      </c>
      <c r="I24" s="468">
        <v>55</v>
      </c>
      <c r="J24" s="468">
        <v>0</v>
      </c>
      <c r="K24" s="468">
        <v>0</v>
      </c>
      <c r="L24" s="9">
        <f t="shared" si="1"/>
        <v>146</v>
      </c>
      <c r="M24" s="9">
        <f t="shared" si="2"/>
        <v>0</v>
      </c>
      <c r="N24" s="9"/>
    </row>
    <row r="25" spans="1:14">
      <c r="A25" s="8">
        <v>15</v>
      </c>
      <c r="B25" s="536" t="s">
        <v>1006</v>
      </c>
      <c r="C25" s="468">
        <v>49</v>
      </c>
      <c r="D25" s="468">
        <v>46</v>
      </c>
      <c r="E25" s="468">
        <v>0</v>
      </c>
      <c r="F25" s="468">
        <v>0</v>
      </c>
      <c r="G25" s="468">
        <f t="shared" si="0"/>
        <v>95</v>
      </c>
      <c r="H25" s="468">
        <v>49</v>
      </c>
      <c r="I25" s="468">
        <v>46</v>
      </c>
      <c r="J25" s="468">
        <v>0</v>
      </c>
      <c r="K25" s="468">
        <v>0</v>
      </c>
      <c r="L25" s="9">
        <f t="shared" si="1"/>
        <v>95</v>
      </c>
      <c r="M25" s="9">
        <f t="shared" si="2"/>
        <v>0</v>
      </c>
      <c r="N25" s="9"/>
    </row>
    <row r="26" spans="1:14">
      <c r="A26" s="8">
        <v>16</v>
      </c>
      <c r="B26" s="536" t="s">
        <v>1004</v>
      </c>
      <c r="C26" s="537">
        <v>253</v>
      </c>
      <c r="D26" s="537">
        <v>131</v>
      </c>
      <c r="E26" s="537">
        <v>0</v>
      </c>
      <c r="F26" s="537">
        <v>0</v>
      </c>
      <c r="G26" s="537">
        <f t="shared" si="0"/>
        <v>384</v>
      </c>
      <c r="H26" s="468">
        <v>253</v>
      </c>
      <c r="I26" s="468">
        <v>131</v>
      </c>
      <c r="J26" s="468">
        <v>0</v>
      </c>
      <c r="K26" s="468">
        <v>0</v>
      </c>
      <c r="L26" s="9">
        <f t="shared" si="1"/>
        <v>384</v>
      </c>
      <c r="M26" s="9">
        <f t="shared" si="2"/>
        <v>0</v>
      </c>
      <c r="N26" s="9"/>
    </row>
    <row r="27" spans="1:14">
      <c r="A27" s="8">
        <v>17</v>
      </c>
      <c r="B27" s="536" t="s">
        <v>1001</v>
      </c>
      <c r="C27" s="537">
        <v>117</v>
      </c>
      <c r="D27" s="537">
        <v>104</v>
      </c>
      <c r="E27" s="537">
        <v>0</v>
      </c>
      <c r="F27" s="537">
        <v>0</v>
      </c>
      <c r="G27" s="537">
        <f t="shared" si="0"/>
        <v>221</v>
      </c>
      <c r="H27" s="468">
        <v>117</v>
      </c>
      <c r="I27" s="468">
        <v>104</v>
      </c>
      <c r="J27" s="468">
        <v>0</v>
      </c>
      <c r="K27" s="468">
        <v>0</v>
      </c>
      <c r="L27" s="9">
        <f t="shared" si="1"/>
        <v>221</v>
      </c>
      <c r="M27" s="9">
        <f t="shared" si="2"/>
        <v>0</v>
      </c>
      <c r="N27" s="9"/>
    </row>
    <row r="28" spans="1:14" ht="51">
      <c r="A28" s="400">
        <v>18</v>
      </c>
      <c r="B28" s="536" t="s">
        <v>1002</v>
      </c>
      <c r="C28" s="468">
        <v>165</v>
      </c>
      <c r="D28" s="468">
        <v>123</v>
      </c>
      <c r="E28" s="468">
        <v>0</v>
      </c>
      <c r="F28" s="468">
        <v>0</v>
      </c>
      <c r="G28" s="468">
        <f t="shared" si="0"/>
        <v>288</v>
      </c>
      <c r="H28" s="468">
        <v>164</v>
      </c>
      <c r="I28" s="468">
        <v>123</v>
      </c>
      <c r="J28" s="468">
        <v>0</v>
      </c>
      <c r="K28" s="468">
        <v>0</v>
      </c>
      <c r="L28" s="541">
        <f t="shared" si="1"/>
        <v>287</v>
      </c>
      <c r="M28" s="541">
        <f t="shared" si="2"/>
        <v>1</v>
      </c>
      <c r="N28" s="542" t="s">
        <v>947</v>
      </c>
    </row>
    <row r="29" spans="1:14">
      <c r="A29" s="8">
        <v>19</v>
      </c>
      <c r="B29" s="536" t="s">
        <v>1010</v>
      </c>
      <c r="C29" s="468">
        <v>106</v>
      </c>
      <c r="D29" s="468">
        <v>75</v>
      </c>
      <c r="E29" s="468">
        <v>0</v>
      </c>
      <c r="F29" s="468">
        <v>0</v>
      </c>
      <c r="G29" s="468">
        <f t="shared" si="0"/>
        <v>181</v>
      </c>
      <c r="H29" s="468">
        <v>106</v>
      </c>
      <c r="I29" s="468">
        <v>75</v>
      </c>
      <c r="J29" s="468">
        <v>0</v>
      </c>
      <c r="K29" s="468">
        <v>0</v>
      </c>
      <c r="L29" s="9">
        <f t="shared" si="1"/>
        <v>181</v>
      </c>
      <c r="M29" s="9">
        <f t="shared" si="2"/>
        <v>0</v>
      </c>
      <c r="N29" s="9"/>
    </row>
    <row r="30" spans="1:14">
      <c r="A30" s="8">
        <v>20</v>
      </c>
      <c r="B30" s="536" t="s">
        <v>1003</v>
      </c>
      <c r="C30" s="537">
        <v>94</v>
      </c>
      <c r="D30" s="537">
        <v>123</v>
      </c>
      <c r="E30" s="537">
        <v>0</v>
      </c>
      <c r="F30" s="537">
        <v>0</v>
      </c>
      <c r="G30" s="537">
        <f t="shared" si="0"/>
        <v>217</v>
      </c>
      <c r="H30" s="468">
        <v>94</v>
      </c>
      <c r="I30" s="468">
        <v>123</v>
      </c>
      <c r="J30" s="468">
        <v>0</v>
      </c>
      <c r="K30" s="468">
        <v>0</v>
      </c>
      <c r="L30" s="9">
        <f t="shared" si="1"/>
        <v>217</v>
      </c>
      <c r="M30" s="9">
        <f t="shared" si="2"/>
        <v>0</v>
      </c>
      <c r="N30" s="9"/>
    </row>
    <row r="31" spans="1:14">
      <c r="A31" s="8">
        <v>21</v>
      </c>
      <c r="B31" s="536" t="s">
        <v>1012</v>
      </c>
      <c r="C31" s="468">
        <v>44</v>
      </c>
      <c r="D31" s="468">
        <v>88</v>
      </c>
      <c r="E31" s="468">
        <v>0</v>
      </c>
      <c r="F31" s="468">
        <v>0</v>
      </c>
      <c r="G31" s="468">
        <f t="shared" si="0"/>
        <v>132</v>
      </c>
      <c r="H31" s="468">
        <v>44</v>
      </c>
      <c r="I31" s="468">
        <v>88</v>
      </c>
      <c r="J31" s="468">
        <v>0</v>
      </c>
      <c r="K31" s="468">
        <v>0</v>
      </c>
      <c r="L31" s="9">
        <f t="shared" si="1"/>
        <v>132</v>
      </c>
      <c r="M31" s="9">
        <f t="shared" si="2"/>
        <v>0</v>
      </c>
      <c r="N31" s="9"/>
    </row>
    <row r="32" spans="1:14">
      <c r="A32" s="8">
        <v>22</v>
      </c>
      <c r="B32" s="536" t="s">
        <v>1011</v>
      </c>
      <c r="C32" s="468">
        <v>70</v>
      </c>
      <c r="D32" s="468">
        <v>59</v>
      </c>
      <c r="E32" s="468">
        <v>0</v>
      </c>
      <c r="F32" s="468">
        <v>0</v>
      </c>
      <c r="G32" s="468">
        <f t="shared" si="0"/>
        <v>129</v>
      </c>
      <c r="H32" s="468">
        <v>70</v>
      </c>
      <c r="I32" s="468">
        <v>59</v>
      </c>
      <c r="J32" s="468">
        <v>0</v>
      </c>
      <c r="K32" s="468">
        <v>0</v>
      </c>
      <c r="L32" s="9">
        <f t="shared" si="1"/>
        <v>129</v>
      </c>
      <c r="M32" s="9">
        <f t="shared" si="2"/>
        <v>0</v>
      </c>
      <c r="N32" s="9"/>
    </row>
    <row r="33" spans="1:14">
      <c r="A33" s="8">
        <v>23</v>
      </c>
      <c r="B33" s="536" t="s">
        <v>1005</v>
      </c>
      <c r="C33" s="468">
        <v>144</v>
      </c>
      <c r="D33" s="468">
        <v>155</v>
      </c>
      <c r="E33" s="468">
        <v>0</v>
      </c>
      <c r="F33" s="468">
        <v>0</v>
      </c>
      <c r="G33" s="468">
        <f t="shared" si="0"/>
        <v>299</v>
      </c>
      <c r="H33" s="468">
        <v>144</v>
      </c>
      <c r="I33" s="468">
        <v>155</v>
      </c>
      <c r="J33" s="468">
        <v>0</v>
      </c>
      <c r="K33" s="468">
        <v>0</v>
      </c>
      <c r="L33" s="401">
        <f t="shared" si="1"/>
        <v>299</v>
      </c>
      <c r="M33" s="401">
        <f t="shared" si="2"/>
        <v>0</v>
      </c>
      <c r="N33" s="540"/>
    </row>
    <row r="34" spans="1:14">
      <c r="A34" s="8">
        <v>24</v>
      </c>
      <c r="B34" s="536" t="s">
        <v>972</v>
      </c>
      <c r="C34" s="537">
        <v>93</v>
      </c>
      <c r="D34" s="537">
        <v>96</v>
      </c>
      <c r="E34" s="537">
        <v>0</v>
      </c>
      <c r="F34" s="537">
        <v>0</v>
      </c>
      <c r="G34" s="537">
        <f t="shared" si="0"/>
        <v>189</v>
      </c>
      <c r="H34" s="468">
        <v>93</v>
      </c>
      <c r="I34" s="468">
        <v>96</v>
      </c>
      <c r="J34" s="468">
        <v>0</v>
      </c>
      <c r="K34" s="468">
        <v>0</v>
      </c>
      <c r="L34" s="9">
        <f t="shared" si="1"/>
        <v>189</v>
      </c>
      <c r="M34" s="9">
        <f t="shared" si="2"/>
        <v>0</v>
      </c>
      <c r="N34" s="9"/>
    </row>
    <row r="35" spans="1:14">
      <c r="A35" s="8">
        <v>25</v>
      </c>
      <c r="B35" s="536" t="s">
        <v>999</v>
      </c>
      <c r="C35" s="537">
        <v>133</v>
      </c>
      <c r="D35" s="537">
        <v>221</v>
      </c>
      <c r="E35" s="537">
        <v>0</v>
      </c>
      <c r="F35" s="537">
        <v>0</v>
      </c>
      <c r="G35" s="537">
        <f t="shared" si="0"/>
        <v>354</v>
      </c>
      <c r="H35" s="468">
        <v>133</v>
      </c>
      <c r="I35" s="468">
        <v>221</v>
      </c>
      <c r="J35" s="468">
        <v>0</v>
      </c>
      <c r="K35" s="468">
        <v>0</v>
      </c>
      <c r="L35" s="9">
        <f t="shared" si="1"/>
        <v>354</v>
      </c>
      <c r="M35" s="9">
        <f t="shared" si="2"/>
        <v>0</v>
      </c>
      <c r="N35" s="9"/>
    </row>
    <row r="36" spans="1:14">
      <c r="A36" s="8">
        <v>26</v>
      </c>
      <c r="B36" s="536" t="s">
        <v>973</v>
      </c>
      <c r="C36" s="537">
        <v>155</v>
      </c>
      <c r="D36" s="537">
        <v>153</v>
      </c>
      <c r="E36" s="537">
        <v>0</v>
      </c>
      <c r="F36" s="537">
        <v>0</v>
      </c>
      <c r="G36" s="537">
        <f t="shared" si="0"/>
        <v>308</v>
      </c>
      <c r="H36" s="468">
        <v>155</v>
      </c>
      <c r="I36" s="468">
        <v>153</v>
      </c>
      <c r="J36" s="468">
        <v>0</v>
      </c>
      <c r="K36" s="468">
        <v>0</v>
      </c>
      <c r="L36" s="9">
        <f t="shared" si="1"/>
        <v>308</v>
      </c>
      <c r="M36" s="9">
        <f t="shared" si="2"/>
        <v>0</v>
      </c>
      <c r="N36" s="9"/>
    </row>
    <row r="37" spans="1:14">
      <c r="A37" s="8">
        <v>27</v>
      </c>
      <c r="B37" s="536" t="s">
        <v>974</v>
      </c>
      <c r="C37" s="537">
        <v>160</v>
      </c>
      <c r="D37" s="537">
        <v>121</v>
      </c>
      <c r="E37" s="537">
        <v>0</v>
      </c>
      <c r="F37" s="537">
        <v>0</v>
      </c>
      <c r="G37" s="537">
        <f t="shared" si="0"/>
        <v>281</v>
      </c>
      <c r="H37" s="468">
        <v>160</v>
      </c>
      <c r="I37" s="468">
        <v>121</v>
      </c>
      <c r="J37" s="468">
        <v>0</v>
      </c>
      <c r="K37" s="468">
        <v>0</v>
      </c>
      <c r="L37" s="9">
        <f t="shared" si="1"/>
        <v>281</v>
      </c>
      <c r="M37" s="9">
        <f t="shared" si="2"/>
        <v>0</v>
      </c>
      <c r="N37" s="9"/>
    </row>
    <row r="38" spans="1:14">
      <c r="A38" s="8">
        <v>28</v>
      </c>
      <c r="B38" s="536" t="s">
        <v>975</v>
      </c>
      <c r="C38" s="468">
        <v>127</v>
      </c>
      <c r="D38" s="468">
        <v>206</v>
      </c>
      <c r="E38" s="468">
        <v>0</v>
      </c>
      <c r="F38" s="468">
        <v>0</v>
      </c>
      <c r="G38" s="468">
        <f t="shared" si="0"/>
        <v>333</v>
      </c>
      <c r="H38" s="468">
        <v>127</v>
      </c>
      <c r="I38" s="468">
        <v>206</v>
      </c>
      <c r="J38" s="468">
        <v>0</v>
      </c>
      <c r="K38" s="468">
        <v>0</v>
      </c>
      <c r="L38" s="9">
        <f t="shared" si="1"/>
        <v>333</v>
      </c>
      <c r="M38" s="9">
        <f t="shared" si="2"/>
        <v>0</v>
      </c>
      <c r="N38" s="9"/>
    </row>
    <row r="39" spans="1:14">
      <c r="A39" s="8">
        <v>29</v>
      </c>
      <c r="B39" s="536" t="s">
        <v>1000</v>
      </c>
      <c r="C39" s="537">
        <v>162</v>
      </c>
      <c r="D39" s="537">
        <v>139</v>
      </c>
      <c r="E39" s="537">
        <v>0</v>
      </c>
      <c r="F39" s="537">
        <v>0</v>
      </c>
      <c r="G39" s="537">
        <f t="shared" si="0"/>
        <v>301</v>
      </c>
      <c r="H39" s="468">
        <v>162</v>
      </c>
      <c r="I39" s="468">
        <v>139</v>
      </c>
      <c r="J39" s="468">
        <v>0</v>
      </c>
      <c r="K39" s="468">
        <v>0</v>
      </c>
      <c r="L39" s="9">
        <f t="shared" si="1"/>
        <v>301</v>
      </c>
      <c r="M39" s="9">
        <f t="shared" si="2"/>
        <v>0</v>
      </c>
      <c r="N39" s="9"/>
    </row>
    <row r="40" spans="1:14">
      <c r="A40" s="8">
        <v>30</v>
      </c>
      <c r="B40" s="536" t="s">
        <v>976</v>
      </c>
      <c r="C40" s="537">
        <v>196</v>
      </c>
      <c r="D40" s="537">
        <v>107</v>
      </c>
      <c r="E40" s="537">
        <v>8</v>
      </c>
      <c r="F40" s="537">
        <v>0</v>
      </c>
      <c r="G40" s="537">
        <f t="shared" si="0"/>
        <v>311</v>
      </c>
      <c r="H40" s="468">
        <v>196</v>
      </c>
      <c r="I40" s="468">
        <v>107</v>
      </c>
      <c r="J40" s="468">
        <v>8</v>
      </c>
      <c r="K40" s="468">
        <v>0</v>
      </c>
      <c r="L40" s="9">
        <f t="shared" si="1"/>
        <v>311</v>
      </c>
      <c r="M40" s="9">
        <f t="shared" si="2"/>
        <v>0</v>
      </c>
      <c r="N40" s="9"/>
    </row>
    <row r="41" spans="1:14">
      <c r="A41" s="8">
        <v>31</v>
      </c>
      <c r="B41" s="536" t="s">
        <v>977</v>
      </c>
      <c r="C41" s="468">
        <v>274</v>
      </c>
      <c r="D41" s="468">
        <v>115</v>
      </c>
      <c r="E41" s="468">
        <v>0</v>
      </c>
      <c r="F41" s="468">
        <v>0</v>
      </c>
      <c r="G41" s="468">
        <f t="shared" si="0"/>
        <v>389</v>
      </c>
      <c r="H41" s="468">
        <v>274</v>
      </c>
      <c r="I41" s="468">
        <v>115</v>
      </c>
      <c r="J41" s="468">
        <v>0</v>
      </c>
      <c r="K41" s="468">
        <v>0</v>
      </c>
      <c r="L41" s="9">
        <f t="shared" si="1"/>
        <v>389</v>
      </c>
      <c r="M41" s="9">
        <f t="shared" si="2"/>
        <v>0</v>
      </c>
      <c r="N41" s="9"/>
    </row>
    <row r="42" spans="1:14">
      <c r="A42" s="8">
        <v>32</v>
      </c>
      <c r="B42" s="536" t="s">
        <v>978</v>
      </c>
      <c r="C42" s="468">
        <v>143</v>
      </c>
      <c r="D42" s="468">
        <v>31</v>
      </c>
      <c r="E42" s="468">
        <v>0</v>
      </c>
      <c r="F42" s="468">
        <v>0</v>
      </c>
      <c r="G42" s="468">
        <f t="shared" si="0"/>
        <v>174</v>
      </c>
      <c r="H42" s="468">
        <v>143</v>
      </c>
      <c r="I42" s="468">
        <v>31</v>
      </c>
      <c r="J42" s="468">
        <v>0</v>
      </c>
      <c r="K42" s="468">
        <v>0</v>
      </c>
      <c r="L42" s="9">
        <f t="shared" si="1"/>
        <v>174</v>
      </c>
      <c r="M42" s="9">
        <f t="shared" si="2"/>
        <v>0</v>
      </c>
      <c r="N42" s="9"/>
    </row>
    <row r="43" spans="1:14">
      <c r="A43" s="8">
        <v>33</v>
      </c>
      <c r="B43" s="536" t="s">
        <v>979</v>
      </c>
      <c r="C43" s="468">
        <v>174</v>
      </c>
      <c r="D43" s="468">
        <v>33</v>
      </c>
      <c r="E43" s="468">
        <v>9</v>
      </c>
      <c r="F43" s="468">
        <v>0</v>
      </c>
      <c r="G43" s="468">
        <f t="shared" si="0"/>
        <v>216</v>
      </c>
      <c r="H43" s="468">
        <v>174</v>
      </c>
      <c r="I43" s="468">
        <v>33</v>
      </c>
      <c r="J43" s="468">
        <v>9</v>
      </c>
      <c r="K43" s="468">
        <v>0</v>
      </c>
      <c r="L43" s="9">
        <f t="shared" si="1"/>
        <v>216</v>
      </c>
      <c r="M43" s="9">
        <f t="shared" si="2"/>
        <v>0</v>
      </c>
      <c r="N43" s="9"/>
    </row>
    <row r="44" spans="1:14">
      <c r="A44" s="8">
        <v>34</v>
      </c>
      <c r="B44" s="536" t="s">
        <v>980</v>
      </c>
      <c r="C44" s="468">
        <v>121</v>
      </c>
      <c r="D44" s="468">
        <v>17</v>
      </c>
      <c r="E44" s="468">
        <v>0</v>
      </c>
      <c r="F44" s="468">
        <v>0</v>
      </c>
      <c r="G44" s="468">
        <f t="shared" si="0"/>
        <v>138</v>
      </c>
      <c r="H44" s="468">
        <v>121</v>
      </c>
      <c r="I44" s="468">
        <v>17</v>
      </c>
      <c r="J44" s="468">
        <v>0</v>
      </c>
      <c r="K44" s="468">
        <v>0</v>
      </c>
      <c r="L44" s="9">
        <f t="shared" si="1"/>
        <v>138</v>
      </c>
      <c r="M44" s="9">
        <f t="shared" si="2"/>
        <v>0</v>
      </c>
      <c r="N44" s="9"/>
    </row>
    <row r="45" spans="1:14">
      <c r="A45" s="3" t="s">
        <v>17</v>
      </c>
      <c r="B45" s="9"/>
      <c r="C45" s="538">
        <f>SUM(C11:C44)</f>
        <v>4564</v>
      </c>
      <c r="D45" s="538">
        <f>SUM(D11:D44)</f>
        <v>3757</v>
      </c>
      <c r="E45" s="538">
        <f>SUM(E11:E44)</f>
        <v>21</v>
      </c>
      <c r="F45" s="538">
        <f>SUM(F11:F44)</f>
        <v>0</v>
      </c>
      <c r="G45" s="538">
        <f t="shared" si="0"/>
        <v>8342</v>
      </c>
      <c r="H45" s="538">
        <f t="shared" ref="H45:M45" si="3">SUM(H11:H44)</f>
        <v>4563</v>
      </c>
      <c r="I45" s="538">
        <f t="shared" si="3"/>
        <v>3757</v>
      </c>
      <c r="J45" s="538">
        <f t="shared" si="3"/>
        <v>21</v>
      </c>
      <c r="K45" s="538">
        <f t="shared" si="3"/>
        <v>0</v>
      </c>
      <c r="L45" s="538">
        <f t="shared" si="3"/>
        <v>8341</v>
      </c>
      <c r="M45" s="538">
        <f t="shared" si="3"/>
        <v>1</v>
      </c>
      <c r="N45" s="9"/>
    </row>
    <row r="46" spans="1:14">
      <c r="A46" s="11"/>
      <c r="B46" s="12"/>
      <c r="C46" s="12"/>
      <c r="D46" s="12"/>
      <c r="E46" s="12"/>
      <c r="F46" s="12"/>
      <c r="G46" s="12"/>
      <c r="H46" s="12"/>
      <c r="I46" s="12"/>
      <c r="J46" s="12"/>
      <c r="K46" s="12"/>
      <c r="L46" s="12"/>
      <c r="M46" s="12"/>
      <c r="N46" s="12"/>
    </row>
    <row r="47" spans="1:14">
      <c r="A47" s="10" t="s">
        <v>7</v>
      </c>
    </row>
    <row r="48" spans="1:14">
      <c r="A48" t="s">
        <v>8</v>
      </c>
    </row>
    <row r="49" spans="1:14">
      <c r="A49" t="s">
        <v>9</v>
      </c>
      <c r="K49" s="11" t="s">
        <v>10</v>
      </c>
      <c r="L49" s="11" t="s">
        <v>10</v>
      </c>
      <c r="M49" s="11"/>
      <c r="N49" s="11" t="s">
        <v>10</v>
      </c>
    </row>
    <row r="50" spans="1:14">
      <c r="A50" s="15" t="s">
        <v>430</v>
      </c>
      <c r="J50" s="11"/>
      <c r="K50" s="11"/>
      <c r="L50" s="11"/>
    </row>
    <row r="51" spans="1:14">
      <c r="C51" s="15" t="s">
        <v>431</v>
      </c>
      <c r="E51" s="12"/>
      <c r="F51" s="12"/>
      <c r="G51" s="12"/>
      <c r="H51" s="12"/>
      <c r="I51" s="12"/>
      <c r="J51" s="12"/>
      <c r="K51" s="12"/>
      <c r="L51" s="12"/>
      <c r="M51" s="12"/>
    </row>
    <row r="52" spans="1:14">
      <c r="E52" s="12"/>
      <c r="F52" s="12"/>
      <c r="G52" s="12"/>
      <c r="H52" s="12"/>
      <c r="I52" s="12"/>
      <c r="J52" s="12"/>
      <c r="K52" s="12"/>
      <c r="L52" s="12"/>
      <c r="M52" s="12"/>
      <c r="N52" s="12"/>
    </row>
    <row r="54" spans="1:14" ht="15.75" customHeight="1">
      <c r="A54" s="803" t="s">
        <v>906</v>
      </c>
      <c r="B54" s="803"/>
      <c r="C54" s="803"/>
      <c r="D54" s="803"/>
      <c r="E54" s="13"/>
      <c r="F54" s="13"/>
      <c r="G54" s="13"/>
      <c r="H54" s="804" t="s">
        <v>12</v>
      </c>
      <c r="I54" s="804"/>
      <c r="J54" s="804"/>
      <c r="K54" s="804"/>
      <c r="L54" s="804"/>
      <c r="M54" s="375"/>
      <c r="N54" s="375"/>
    </row>
    <row r="55" spans="1:14" ht="15.75" customHeight="1">
      <c r="A55" s="804" t="s">
        <v>907</v>
      </c>
      <c r="B55" s="804"/>
      <c r="C55" s="804"/>
      <c r="D55" s="804"/>
      <c r="E55" s="375"/>
      <c r="F55" s="375"/>
      <c r="G55" s="375"/>
      <c r="H55" s="804" t="s">
        <v>13</v>
      </c>
      <c r="I55" s="804"/>
      <c r="J55" s="804"/>
      <c r="K55" s="804"/>
      <c r="L55" s="804"/>
      <c r="M55" s="375"/>
      <c r="N55" s="375"/>
    </row>
    <row r="56" spans="1:14" ht="15.75" customHeight="1">
      <c r="A56" s="804" t="s">
        <v>908</v>
      </c>
      <c r="B56" s="804"/>
      <c r="C56" s="804"/>
      <c r="D56" s="804"/>
      <c r="E56" s="375"/>
      <c r="F56" s="375"/>
      <c r="G56" s="375"/>
      <c r="H56" s="804" t="s">
        <v>18</v>
      </c>
      <c r="I56" s="804"/>
      <c r="J56" s="804"/>
      <c r="K56" s="804"/>
      <c r="L56" s="804"/>
      <c r="M56" s="375"/>
      <c r="N56" s="375"/>
    </row>
    <row r="57" spans="1:14">
      <c r="A57" s="204" t="s">
        <v>11</v>
      </c>
      <c r="H57" s="14"/>
      <c r="I57" s="14"/>
      <c r="J57" s="371" t="s">
        <v>84</v>
      </c>
      <c r="K57" s="371"/>
      <c r="L57" s="371"/>
      <c r="M57" s="33"/>
      <c r="N57" s="33"/>
    </row>
  </sheetData>
  <mergeCells count="18">
    <mergeCell ref="N8:N9"/>
    <mergeCell ref="A8:A9"/>
    <mergeCell ref="B8:B9"/>
    <mergeCell ref="C8:G8"/>
    <mergeCell ref="H8:L8"/>
    <mergeCell ref="M8:M9"/>
    <mergeCell ref="A7:B7"/>
    <mergeCell ref="D1:J1"/>
    <mergeCell ref="A2:N2"/>
    <mergeCell ref="A3:N3"/>
    <mergeCell ref="A5:N5"/>
    <mergeCell ref="L7:N7"/>
    <mergeCell ref="H54:L54"/>
    <mergeCell ref="A55:D55"/>
    <mergeCell ref="H55:L55"/>
    <mergeCell ref="A56:D56"/>
    <mergeCell ref="H56:L56"/>
    <mergeCell ref="A54:D54"/>
  </mergeCells>
  <phoneticPr fontId="0" type="noConversion"/>
  <printOptions horizontalCentered="1"/>
  <pageMargins left="0.70866141732283472" right="0.70866141732283472" top="0.23622047244094491" bottom="0" header="0.31496062992125984" footer="0.31496062992125984"/>
  <pageSetup paperSize="9" scale="72" orientation="landscape"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R60"/>
  <sheetViews>
    <sheetView view="pageBreakPreview" topLeftCell="A22" zoomScale="80" zoomScaleNormal="90" zoomScaleSheetLayoutView="80" workbookViewId="0">
      <selection activeCell="C29" sqref="C29:Q29"/>
    </sheetView>
  </sheetViews>
  <sheetFormatPr defaultRowHeight="12.75"/>
  <cols>
    <col min="1" max="1" width="7.140625" style="15" customWidth="1"/>
    <col min="2" max="2" width="23.140625" style="15" customWidth="1"/>
    <col min="3" max="3" width="10.28515625" style="15" customWidth="1"/>
    <col min="4" max="4" width="9.28515625" style="15" customWidth="1"/>
    <col min="5" max="6" width="9.140625" style="15"/>
    <col min="7" max="7" width="10" style="15" customWidth="1"/>
    <col min="8" max="8" width="11" style="15" customWidth="1"/>
    <col min="9" max="9" width="9.7109375" style="15" customWidth="1"/>
    <col min="10" max="10" width="9.5703125" style="15" customWidth="1"/>
    <col min="11" max="11" width="11.7109375" style="15" customWidth="1"/>
    <col min="12" max="12" width="10.7109375" style="15" customWidth="1"/>
    <col min="13" max="13" width="12.42578125" style="15" bestFit="1" customWidth="1"/>
    <col min="14" max="14" width="11.28515625" style="15" bestFit="1" customWidth="1"/>
    <col min="15" max="15" width="8.85546875" style="15" customWidth="1"/>
    <col min="16" max="16" width="10.85546875" style="15" bestFit="1" customWidth="1"/>
    <col min="17" max="17" width="12.85546875" style="15" bestFit="1" customWidth="1"/>
    <col min="18" max="18" width="9.85546875" style="15" bestFit="1" customWidth="1"/>
    <col min="19" max="16384" width="9.140625" style="15"/>
  </cols>
  <sheetData>
    <row r="1" spans="1:18" customFormat="1" ht="12.75" customHeight="1">
      <c r="D1" s="15"/>
      <c r="E1" s="15"/>
      <c r="F1" s="15"/>
      <c r="G1" s="15"/>
      <c r="H1" s="15"/>
      <c r="I1" s="15"/>
      <c r="J1" s="15"/>
      <c r="K1" s="15"/>
      <c r="L1" s="15"/>
      <c r="M1" s="15"/>
      <c r="N1" s="15"/>
      <c r="O1" s="846" t="s">
        <v>60</v>
      </c>
      <c r="P1" s="846"/>
      <c r="Q1" s="846"/>
    </row>
    <row r="2" spans="1:18" customFormat="1" ht="15.75">
      <c r="A2" s="847" t="s">
        <v>0</v>
      </c>
      <c r="B2" s="847"/>
      <c r="C2" s="847"/>
      <c r="D2" s="847"/>
      <c r="E2" s="847"/>
      <c r="F2" s="847"/>
      <c r="G2" s="847"/>
      <c r="H2" s="847"/>
      <c r="I2" s="847"/>
      <c r="J2" s="847"/>
      <c r="K2" s="847"/>
      <c r="L2" s="847"/>
      <c r="M2" s="847"/>
      <c r="N2" s="847"/>
      <c r="O2" s="847"/>
      <c r="P2" s="847"/>
      <c r="Q2" s="847"/>
    </row>
    <row r="3" spans="1:18" customFormat="1" ht="20.25">
      <c r="A3" s="848" t="s">
        <v>745</v>
      </c>
      <c r="B3" s="848"/>
      <c r="C3" s="848"/>
      <c r="D3" s="848"/>
      <c r="E3" s="848"/>
      <c r="F3" s="848"/>
      <c r="G3" s="848"/>
      <c r="H3" s="848"/>
      <c r="I3" s="848"/>
      <c r="J3" s="848"/>
      <c r="K3" s="848"/>
      <c r="L3" s="848"/>
      <c r="M3" s="848"/>
      <c r="N3" s="848"/>
      <c r="O3" s="848"/>
      <c r="P3" s="848"/>
      <c r="Q3" s="848"/>
    </row>
    <row r="4" spans="1:18" customFormat="1" ht="11.25" customHeight="1"/>
    <row r="5" spans="1:18" customFormat="1" ht="15.75" customHeight="1">
      <c r="A5" s="925" t="s">
        <v>801</v>
      </c>
      <c r="B5" s="925"/>
      <c r="C5" s="925"/>
      <c r="D5" s="925"/>
      <c r="E5" s="925"/>
      <c r="F5" s="925"/>
      <c r="G5" s="925"/>
      <c r="H5" s="925"/>
      <c r="I5" s="925"/>
      <c r="J5" s="925"/>
      <c r="K5" s="925"/>
      <c r="L5" s="925"/>
      <c r="M5" s="925"/>
      <c r="N5" s="925"/>
      <c r="O5" s="925"/>
      <c r="P5" s="925"/>
      <c r="Q5" s="925"/>
    </row>
    <row r="7" spans="1:18" ht="17.45" customHeight="1">
      <c r="A7" s="850" t="s">
        <v>911</v>
      </c>
      <c r="B7" s="850"/>
      <c r="N7" s="914" t="s">
        <v>831</v>
      </c>
      <c r="O7" s="914"/>
      <c r="P7" s="914"/>
      <c r="Q7" s="914"/>
    </row>
    <row r="8" spans="1:18" ht="24" customHeight="1">
      <c r="A8" s="834" t="s">
        <v>2</v>
      </c>
      <c r="B8" s="834" t="s">
        <v>3</v>
      </c>
      <c r="C8" s="835" t="s">
        <v>764</v>
      </c>
      <c r="D8" s="835"/>
      <c r="E8" s="835"/>
      <c r="F8" s="835"/>
      <c r="G8" s="835"/>
      <c r="H8" s="921" t="s">
        <v>636</v>
      </c>
      <c r="I8" s="835"/>
      <c r="J8" s="835"/>
      <c r="K8" s="835"/>
      <c r="L8" s="835"/>
      <c r="M8" s="922" t="s">
        <v>112</v>
      </c>
      <c r="N8" s="923"/>
      <c r="O8" s="923"/>
      <c r="P8" s="923"/>
      <c r="Q8" s="924"/>
    </row>
    <row r="9" spans="1:18" s="14" customFormat="1" ht="60" customHeight="1">
      <c r="A9" s="834"/>
      <c r="B9" s="834"/>
      <c r="C9" s="5" t="s">
        <v>211</v>
      </c>
      <c r="D9" s="5" t="s">
        <v>212</v>
      </c>
      <c r="E9" s="5" t="s">
        <v>357</v>
      </c>
      <c r="F9" s="5" t="s">
        <v>218</v>
      </c>
      <c r="G9" s="5" t="s">
        <v>117</v>
      </c>
      <c r="H9" s="102" t="s">
        <v>211</v>
      </c>
      <c r="I9" s="5" t="s">
        <v>212</v>
      </c>
      <c r="J9" s="5" t="s">
        <v>357</v>
      </c>
      <c r="K9" s="7" t="s">
        <v>218</v>
      </c>
      <c r="L9" s="5" t="s">
        <v>360</v>
      </c>
      <c r="M9" s="5" t="s">
        <v>211</v>
      </c>
      <c r="N9" s="5" t="s">
        <v>212</v>
      </c>
      <c r="O9" s="5" t="s">
        <v>357</v>
      </c>
      <c r="P9" s="7" t="s">
        <v>218</v>
      </c>
      <c r="Q9" s="5" t="s">
        <v>119</v>
      </c>
      <c r="R9" s="28"/>
    </row>
    <row r="10" spans="1:18" s="64" customFormat="1">
      <c r="A10" s="63">
        <v>1</v>
      </c>
      <c r="B10" s="63">
        <v>2</v>
      </c>
      <c r="C10" s="63">
        <v>3</v>
      </c>
      <c r="D10" s="63">
        <v>4</v>
      </c>
      <c r="E10" s="63">
        <v>5</v>
      </c>
      <c r="F10" s="63">
        <v>6</v>
      </c>
      <c r="G10" s="63">
        <v>7</v>
      </c>
      <c r="H10" s="63">
        <v>8</v>
      </c>
      <c r="I10" s="63">
        <v>9</v>
      </c>
      <c r="J10" s="63">
        <v>10</v>
      </c>
      <c r="K10" s="63">
        <v>11</v>
      </c>
      <c r="L10" s="63">
        <v>12</v>
      </c>
      <c r="M10" s="63">
        <v>13</v>
      </c>
      <c r="N10" s="63">
        <v>14</v>
      </c>
      <c r="O10" s="63">
        <v>15</v>
      </c>
      <c r="P10" s="63">
        <v>16</v>
      </c>
      <c r="Q10" s="63">
        <v>17</v>
      </c>
    </row>
    <row r="11" spans="1:18">
      <c r="A11" s="17">
        <v>1</v>
      </c>
      <c r="B11" s="536" t="s">
        <v>961</v>
      </c>
      <c r="C11" s="537">
        <v>41424</v>
      </c>
      <c r="D11" s="537">
        <v>17434</v>
      </c>
      <c r="E11" s="537">
        <v>0</v>
      </c>
      <c r="F11" s="537">
        <v>0</v>
      </c>
      <c r="G11" s="537">
        <f>SUM(C11:F11)</f>
        <v>58858</v>
      </c>
      <c r="H11" s="537">
        <f>ROUND(M11/172,0)</f>
        <v>30392</v>
      </c>
      <c r="I11" s="537">
        <f>ROUND(N11/172,0)</f>
        <v>15121</v>
      </c>
      <c r="J11" s="537">
        <v>0</v>
      </c>
      <c r="K11" s="537">
        <f>ROUND(P11/172,0)</f>
        <v>0</v>
      </c>
      <c r="L11" s="537">
        <f t="shared" ref="L11:L44" si="0">H11+I11+J11+K11</f>
        <v>45513</v>
      </c>
      <c r="M11" s="537">
        <v>5227340</v>
      </c>
      <c r="N11" s="537">
        <v>2600807</v>
      </c>
      <c r="O11" s="537">
        <v>0</v>
      </c>
      <c r="P11" s="537">
        <v>0</v>
      </c>
      <c r="Q11" s="537">
        <f>SUM(M11:P11)</f>
        <v>7828147</v>
      </c>
    </row>
    <row r="12" spans="1:18">
      <c r="A12" s="17">
        <v>2</v>
      </c>
      <c r="B12" s="536" t="s">
        <v>962</v>
      </c>
      <c r="C12" s="537">
        <v>67062</v>
      </c>
      <c r="D12" s="537">
        <v>23149</v>
      </c>
      <c r="E12" s="537">
        <v>0</v>
      </c>
      <c r="F12" s="537">
        <v>27</v>
      </c>
      <c r="G12" s="537">
        <f t="shared" ref="G12:G45" si="1">SUM(C12:F12)</f>
        <v>90238</v>
      </c>
      <c r="H12" s="537">
        <f t="shared" ref="H12:H44" si="2">ROUND(M12/172,0)</f>
        <v>43088</v>
      </c>
      <c r="I12" s="537">
        <f t="shared" ref="I12:I44" si="3">ROUND(N12/172,0)</f>
        <v>13076</v>
      </c>
      <c r="J12" s="537">
        <v>0</v>
      </c>
      <c r="K12" s="537">
        <f t="shared" ref="K12:K44" si="4">ROUND(P12/172,0)</f>
        <v>21</v>
      </c>
      <c r="L12" s="537">
        <f t="shared" si="0"/>
        <v>56185</v>
      </c>
      <c r="M12" s="537">
        <v>7411051</v>
      </c>
      <c r="N12" s="537">
        <v>2249028</v>
      </c>
      <c r="O12" s="537">
        <v>0</v>
      </c>
      <c r="P12" s="537">
        <v>3557</v>
      </c>
      <c r="Q12" s="537">
        <f t="shared" ref="Q12:Q44" si="5">SUM(M12:P12)</f>
        <v>9663636</v>
      </c>
    </row>
    <row r="13" spans="1:18">
      <c r="A13" s="393">
        <v>3</v>
      </c>
      <c r="B13" s="536" t="s">
        <v>963</v>
      </c>
      <c r="C13" s="537">
        <v>73826</v>
      </c>
      <c r="D13" s="537">
        <v>7383</v>
      </c>
      <c r="E13" s="537">
        <v>0</v>
      </c>
      <c r="F13" s="537">
        <v>0</v>
      </c>
      <c r="G13" s="537">
        <f t="shared" si="1"/>
        <v>81209</v>
      </c>
      <c r="H13" s="537">
        <f t="shared" si="2"/>
        <v>63631</v>
      </c>
      <c r="I13" s="537">
        <f t="shared" si="3"/>
        <v>6628</v>
      </c>
      <c r="J13" s="537">
        <v>0</v>
      </c>
      <c r="K13" s="537">
        <f t="shared" si="4"/>
        <v>0</v>
      </c>
      <c r="L13" s="537">
        <f t="shared" si="0"/>
        <v>70259</v>
      </c>
      <c r="M13" s="537">
        <v>10944487</v>
      </c>
      <c r="N13" s="537">
        <v>1139984</v>
      </c>
      <c r="O13" s="537">
        <v>0</v>
      </c>
      <c r="P13" s="537">
        <v>0</v>
      </c>
      <c r="Q13" s="537">
        <f t="shared" si="5"/>
        <v>12084471</v>
      </c>
    </row>
    <row r="14" spans="1:18">
      <c r="A14" s="393">
        <v>4</v>
      </c>
      <c r="B14" s="536" t="s">
        <v>964</v>
      </c>
      <c r="C14" s="537">
        <v>54626</v>
      </c>
      <c r="D14" s="537">
        <v>16076</v>
      </c>
      <c r="E14" s="537">
        <v>0</v>
      </c>
      <c r="F14" s="537">
        <v>0</v>
      </c>
      <c r="G14" s="537">
        <f t="shared" si="1"/>
        <v>70702</v>
      </c>
      <c r="H14" s="537">
        <f t="shared" si="2"/>
        <v>50141</v>
      </c>
      <c r="I14" s="537">
        <f t="shared" si="3"/>
        <v>11931</v>
      </c>
      <c r="J14" s="537">
        <v>0</v>
      </c>
      <c r="K14" s="537">
        <f t="shared" si="4"/>
        <v>0</v>
      </c>
      <c r="L14" s="537">
        <f t="shared" si="0"/>
        <v>62072</v>
      </c>
      <c r="M14" s="537">
        <v>8624167</v>
      </c>
      <c r="N14" s="537">
        <v>2052064</v>
      </c>
      <c r="O14" s="537">
        <v>0</v>
      </c>
      <c r="P14" s="537">
        <v>0</v>
      </c>
      <c r="Q14" s="537">
        <f t="shared" si="5"/>
        <v>10676231</v>
      </c>
    </row>
    <row r="15" spans="1:18">
      <c r="A15" s="393">
        <v>5</v>
      </c>
      <c r="B15" s="536" t="s">
        <v>1009</v>
      </c>
      <c r="C15" s="537">
        <v>63823</v>
      </c>
      <c r="D15" s="537">
        <v>12589</v>
      </c>
      <c r="E15" s="537">
        <v>0</v>
      </c>
      <c r="F15" s="537">
        <v>0</v>
      </c>
      <c r="G15" s="537">
        <f t="shared" si="1"/>
        <v>76412</v>
      </c>
      <c r="H15" s="537">
        <f t="shared" si="2"/>
        <v>55419</v>
      </c>
      <c r="I15" s="537">
        <f t="shared" si="3"/>
        <v>9626</v>
      </c>
      <c r="J15" s="537">
        <v>0</v>
      </c>
      <c r="K15" s="537">
        <f t="shared" si="4"/>
        <v>0</v>
      </c>
      <c r="L15" s="537">
        <f t="shared" si="0"/>
        <v>65045</v>
      </c>
      <c r="M15" s="537">
        <v>9532024</v>
      </c>
      <c r="N15" s="537">
        <v>1655644</v>
      </c>
      <c r="O15" s="537">
        <v>0</v>
      </c>
      <c r="P15" s="537">
        <v>0</v>
      </c>
      <c r="Q15" s="537">
        <f t="shared" si="5"/>
        <v>11187668</v>
      </c>
    </row>
    <row r="16" spans="1:18" s="396" customFormat="1">
      <c r="A16" s="393">
        <v>6</v>
      </c>
      <c r="B16" s="536" t="s">
        <v>965</v>
      </c>
      <c r="C16" s="537">
        <v>28052</v>
      </c>
      <c r="D16" s="537">
        <v>1885</v>
      </c>
      <c r="E16" s="537">
        <v>0</v>
      </c>
      <c r="F16" s="537">
        <v>0</v>
      </c>
      <c r="G16" s="537">
        <f t="shared" si="1"/>
        <v>29937</v>
      </c>
      <c r="H16" s="537">
        <f t="shared" si="2"/>
        <v>27801</v>
      </c>
      <c r="I16" s="537">
        <f t="shared" si="3"/>
        <v>1442</v>
      </c>
      <c r="J16" s="537">
        <v>0</v>
      </c>
      <c r="K16" s="537">
        <f t="shared" si="4"/>
        <v>0</v>
      </c>
      <c r="L16" s="537">
        <f t="shared" si="0"/>
        <v>29243</v>
      </c>
      <c r="M16" s="537">
        <v>4781771</v>
      </c>
      <c r="N16" s="537">
        <v>247957</v>
      </c>
      <c r="O16" s="537">
        <v>0</v>
      </c>
      <c r="P16" s="537">
        <v>0</v>
      </c>
      <c r="Q16" s="537">
        <f t="shared" si="5"/>
        <v>5029728</v>
      </c>
    </row>
    <row r="17" spans="1:17" s="396" customFormat="1">
      <c r="A17" s="393">
        <v>7</v>
      </c>
      <c r="B17" s="536" t="s">
        <v>966</v>
      </c>
      <c r="C17" s="537">
        <v>29794</v>
      </c>
      <c r="D17" s="537">
        <v>3933</v>
      </c>
      <c r="E17" s="537">
        <v>0</v>
      </c>
      <c r="F17" s="537">
        <v>0</v>
      </c>
      <c r="G17" s="537">
        <f t="shared" si="1"/>
        <v>33727</v>
      </c>
      <c r="H17" s="537">
        <f t="shared" si="2"/>
        <v>29612</v>
      </c>
      <c r="I17" s="537">
        <f t="shared" si="3"/>
        <v>2109</v>
      </c>
      <c r="J17" s="537">
        <v>0</v>
      </c>
      <c r="K17" s="537">
        <f t="shared" si="4"/>
        <v>0</v>
      </c>
      <c r="L17" s="537">
        <f t="shared" si="0"/>
        <v>31721</v>
      </c>
      <c r="M17" s="537">
        <v>5093197</v>
      </c>
      <c r="N17" s="537">
        <v>362734</v>
      </c>
      <c r="O17" s="537">
        <v>0</v>
      </c>
      <c r="P17" s="537">
        <v>0</v>
      </c>
      <c r="Q17" s="537">
        <f t="shared" si="5"/>
        <v>5455931</v>
      </c>
    </row>
    <row r="18" spans="1:17" s="278" customFormat="1">
      <c r="A18" s="329">
        <v>8</v>
      </c>
      <c r="B18" s="536" t="s">
        <v>967</v>
      </c>
      <c r="C18" s="537">
        <v>44082</v>
      </c>
      <c r="D18" s="537">
        <v>5761</v>
      </c>
      <c r="E18" s="537">
        <v>0</v>
      </c>
      <c r="F18" s="537">
        <v>0</v>
      </c>
      <c r="G18" s="537">
        <f t="shared" si="1"/>
        <v>49843</v>
      </c>
      <c r="H18" s="537">
        <f t="shared" si="2"/>
        <v>43861</v>
      </c>
      <c r="I18" s="537">
        <f t="shared" si="3"/>
        <v>5474</v>
      </c>
      <c r="J18" s="537">
        <v>0</v>
      </c>
      <c r="K18" s="537">
        <f t="shared" si="4"/>
        <v>0</v>
      </c>
      <c r="L18" s="547">
        <f t="shared" si="0"/>
        <v>49335</v>
      </c>
      <c r="M18" s="547">
        <v>7544030</v>
      </c>
      <c r="N18" s="547">
        <v>941524</v>
      </c>
      <c r="O18" s="547">
        <v>0</v>
      </c>
      <c r="P18" s="547">
        <v>0</v>
      </c>
      <c r="Q18" s="547">
        <f t="shared" si="5"/>
        <v>8485554</v>
      </c>
    </row>
    <row r="19" spans="1:17" s="268" customFormat="1">
      <c r="A19" s="272">
        <v>9</v>
      </c>
      <c r="B19" s="536" t="s">
        <v>968</v>
      </c>
      <c r="C19" s="537">
        <v>36484</v>
      </c>
      <c r="D19" s="537">
        <v>4557</v>
      </c>
      <c r="E19" s="537">
        <v>0</v>
      </c>
      <c r="F19" s="537">
        <v>0</v>
      </c>
      <c r="G19" s="537">
        <f t="shared" si="1"/>
        <v>41041</v>
      </c>
      <c r="H19" s="537">
        <f t="shared" si="2"/>
        <v>36238</v>
      </c>
      <c r="I19" s="537">
        <f t="shared" si="3"/>
        <v>4321</v>
      </c>
      <c r="J19" s="537">
        <v>0</v>
      </c>
      <c r="K19" s="537">
        <f t="shared" si="4"/>
        <v>0</v>
      </c>
      <c r="L19" s="547">
        <f t="shared" si="0"/>
        <v>40559</v>
      </c>
      <c r="M19" s="547">
        <v>6232906</v>
      </c>
      <c r="N19" s="547">
        <v>743282</v>
      </c>
      <c r="O19" s="547">
        <v>0</v>
      </c>
      <c r="P19" s="547">
        <v>0</v>
      </c>
      <c r="Q19" s="547">
        <f t="shared" si="5"/>
        <v>6976188</v>
      </c>
    </row>
    <row r="20" spans="1:17" s="396" customFormat="1">
      <c r="A20" s="393">
        <v>10</v>
      </c>
      <c r="B20" s="536" t="s">
        <v>970</v>
      </c>
      <c r="C20" s="537">
        <v>52144</v>
      </c>
      <c r="D20" s="537">
        <v>5661</v>
      </c>
      <c r="E20" s="537">
        <v>0</v>
      </c>
      <c r="F20" s="537">
        <v>0</v>
      </c>
      <c r="G20" s="537">
        <f t="shared" si="1"/>
        <v>57805</v>
      </c>
      <c r="H20" s="537">
        <f t="shared" si="2"/>
        <v>47691</v>
      </c>
      <c r="I20" s="537">
        <f t="shared" si="3"/>
        <v>4660</v>
      </c>
      <c r="J20" s="537">
        <v>0</v>
      </c>
      <c r="K20" s="537">
        <f t="shared" si="4"/>
        <v>0</v>
      </c>
      <c r="L20" s="537">
        <f t="shared" si="0"/>
        <v>52351</v>
      </c>
      <c r="M20" s="537">
        <v>8202772</v>
      </c>
      <c r="N20" s="537">
        <v>801580</v>
      </c>
      <c r="O20" s="537">
        <v>0</v>
      </c>
      <c r="P20" s="537">
        <v>0</v>
      </c>
      <c r="Q20" s="537">
        <f t="shared" si="5"/>
        <v>9004352</v>
      </c>
    </row>
    <row r="21" spans="1:17" s="396" customFormat="1">
      <c r="A21" s="393">
        <v>11</v>
      </c>
      <c r="B21" s="536" t="s">
        <v>969</v>
      </c>
      <c r="C21" s="537">
        <v>41207</v>
      </c>
      <c r="D21" s="537">
        <v>1037</v>
      </c>
      <c r="E21" s="537">
        <v>0</v>
      </c>
      <c r="F21" s="537">
        <v>0</v>
      </c>
      <c r="G21" s="537">
        <f t="shared" si="1"/>
        <v>42244</v>
      </c>
      <c r="H21" s="537">
        <f t="shared" si="2"/>
        <v>39694</v>
      </c>
      <c r="I21" s="537">
        <f t="shared" si="3"/>
        <v>890</v>
      </c>
      <c r="J21" s="537">
        <v>0</v>
      </c>
      <c r="K21" s="537">
        <f t="shared" si="4"/>
        <v>0</v>
      </c>
      <c r="L21" s="537">
        <f t="shared" si="0"/>
        <v>40584</v>
      </c>
      <c r="M21" s="537">
        <v>6827367</v>
      </c>
      <c r="N21" s="537">
        <v>153077</v>
      </c>
      <c r="O21" s="537">
        <v>0</v>
      </c>
      <c r="P21" s="537">
        <v>0</v>
      </c>
      <c r="Q21" s="537">
        <f t="shared" si="5"/>
        <v>6980444</v>
      </c>
    </row>
    <row r="22" spans="1:17" s="396" customFormat="1">
      <c r="A22" s="393">
        <v>12</v>
      </c>
      <c r="B22" s="536" t="s">
        <v>1008</v>
      </c>
      <c r="C22" s="537">
        <v>79168</v>
      </c>
      <c r="D22" s="537">
        <v>18015</v>
      </c>
      <c r="E22" s="537">
        <v>0</v>
      </c>
      <c r="F22" s="537">
        <v>0</v>
      </c>
      <c r="G22" s="537">
        <f t="shared" si="1"/>
        <v>97183</v>
      </c>
      <c r="H22" s="537">
        <f t="shared" si="2"/>
        <v>77099</v>
      </c>
      <c r="I22" s="537">
        <f t="shared" si="3"/>
        <v>14212</v>
      </c>
      <c r="J22" s="537">
        <v>0</v>
      </c>
      <c r="K22" s="537">
        <f t="shared" si="4"/>
        <v>0</v>
      </c>
      <c r="L22" s="537">
        <f t="shared" si="0"/>
        <v>91311</v>
      </c>
      <c r="M22" s="739">
        <v>13260973</v>
      </c>
      <c r="N22" s="537">
        <v>2444534</v>
      </c>
      <c r="O22" s="537">
        <v>0</v>
      </c>
      <c r="P22" s="537">
        <v>0</v>
      </c>
      <c r="Q22" s="537">
        <f t="shared" si="5"/>
        <v>15705507</v>
      </c>
    </row>
    <row r="23" spans="1:17" s="396" customFormat="1">
      <c r="A23" s="393">
        <v>13</v>
      </c>
      <c r="B23" s="536" t="s">
        <v>1007</v>
      </c>
      <c r="C23" s="537">
        <v>43102</v>
      </c>
      <c r="D23" s="537">
        <v>9071</v>
      </c>
      <c r="E23" s="537">
        <v>0</v>
      </c>
      <c r="F23" s="537">
        <v>0</v>
      </c>
      <c r="G23" s="537">
        <f t="shared" si="1"/>
        <v>52173</v>
      </c>
      <c r="H23" s="537">
        <f t="shared" si="2"/>
        <v>41210</v>
      </c>
      <c r="I23" s="537">
        <f t="shared" si="3"/>
        <v>7880</v>
      </c>
      <c r="J23" s="537">
        <v>0</v>
      </c>
      <c r="K23" s="537">
        <f t="shared" si="4"/>
        <v>0</v>
      </c>
      <c r="L23" s="537">
        <f t="shared" si="0"/>
        <v>49090</v>
      </c>
      <c r="M23" s="537">
        <v>7088062</v>
      </c>
      <c r="N23" s="537">
        <v>1355393</v>
      </c>
      <c r="O23" s="537">
        <v>0</v>
      </c>
      <c r="P23" s="537">
        <v>0</v>
      </c>
      <c r="Q23" s="537">
        <f t="shared" si="5"/>
        <v>8443455</v>
      </c>
    </row>
    <row r="24" spans="1:17" s="396" customFormat="1">
      <c r="A24" s="393">
        <v>14</v>
      </c>
      <c r="B24" s="536" t="s">
        <v>971</v>
      </c>
      <c r="C24" s="537">
        <v>32704</v>
      </c>
      <c r="D24" s="537">
        <v>5603</v>
      </c>
      <c r="E24" s="537">
        <v>0</v>
      </c>
      <c r="F24" s="537">
        <v>0</v>
      </c>
      <c r="G24" s="537">
        <f t="shared" si="1"/>
        <v>38307</v>
      </c>
      <c r="H24" s="537">
        <f t="shared" si="2"/>
        <v>30592</v>
      </c>
      <c r="I24" s="537">
        <f t="shared" si="3"/>
        <v>4693</v>
      </c>
      <c r="J24" s="537">
        <v>0</v>
      </c>
      <c r="K24" s="537">
        <f t="shared" si="4"/>
        <v>0</v>
      </c>
      <c r="L24" s="537">
        <f t="shared" si="0"/>
        <v>35285</v>
      </c>
      <c r="M24" s="537">
        <v>5261752</v>
      </c>
      <c r="N24" s="537">
        <v>807142</v>
      </c>
      <c r="O24" s="537">
        <v>0</v>
      </c>
      <c r="P24" s="537">
        <v>0</v>
      </c>
      <c r="Q24" s="537">
        <f t="shared" si="5"/>
        <v>6068894</v>
      </c>
    </row>
    <row r="25" spans="1:17" s="396" customFormat="1">
      <c r="A25" s="393">
        <v>15</v>
      </c>
      <c r="B25" s="536" t="s">
        <v>1006</v>
      </c>
      <c r="C25" s="537">
        <v>12541</v>
      </c>
      <c r="D25" s="537">
        <v>1753</v>
      </c>
      <c r="E25" s="537">
        <v>0</v>
      </c>
      <c r="F25" s="537">
        <v>0</v>
      </c>
      <c r="G25" s="537">
        <f t="shared" si="1"/>
        <v>14294</v>
      </c>
      <c r="H25" s="537">
        <f t="shared" si="2"/>
        <v>11659</v>
      </c>
      <c r="I25" s="537">
        <f t="shared" si="3"/>
        <v>237</v>
      </c>
      <c r="J25" s="537">
        <v>0</v>
      </c>
      <c r="K25" s="537">
        <f t="shared" si="4"/>
        <v>0</v>
      </c>
      <c r="L25" s="537">
        <f t="shared" si="0"/>
        <v>11896</v>
      </c>
      <c r="M25" s="537">
        <v>2005342</v>
      </c>
      <c r="N25" s="537">
        <v>40738</v>
      </c>
      <c r="O25" s="537">
        <v>0</v>
      </c>
      <c r="P25" s="537">
        <v>0</v>
      </c>
      <c r="Q25" s="537">
        <f t="shared" si="5"/>
        <v>2046080</v>
      </c>
    </row>
    <row r="26" spans="1:17" s="396" customFormat="1">
      <c r="A26" s="393">
        <v>16</v>
      </c>
      <c r="B26" s="536" t="s">
        <v>1004</v>
      </c>
      <c r="C26" s="537">
        <v>48338</v>
      </c>
      <c r="D26" s="537">
        <v>5751</v>
      </c>
      <c r="E26" s="537">
        <v>0</v>
      </c>
      <c r="F26" s="537">
        <v>0</v>
      </c>
      <c r="G26" s="537">
        <f t="shared" si="1"/>
        <v>54089</v>
      </c>
      <c r="H26" s="537">
        <f t="shared" si="2"/>
        <v>47093</v>
      </c>
      <c r="I26" s="537">
        <f t="shared" si="3"/>
        <v>5241</v>
      </c>
      <c r="J26" s="537">
        <v>0</v>
      </c>
      <c r="K26" s="537">
        <f t="shared" si="4"/>
        <v>0</v>
      </c>
      <c r="L26" s="537">
        <f t="shared" si="0"/>
        <v>52334</v>
      </c>
      <c r="M26" s="537">
        <v>8099933</v>
      </c>
      <c r="N26" s="537">
        <v>901480</v>
      </c>
      <c r="O26" s="537">
        <v>0</v>
      </c>
      <c r="P26" s="537">
        <v>0</v>
      </c>
      <c r="Q26" s="537">
        <f t="shared" si="5"/>
        <v>9001413</v>
      </c>
    </row>
    <row r="27" spans="1:17" s="396" customFormat="1">
      <c r="A27" s="393">
        <v>17</v>
      </c>
      <c r="B27" s="536" t="s">
        <v>1001</v>
      </c>
      <c r="C27" s="537">
        <v>35076</v>
      </c>
      <c r="D27" s="537">
        <v>3645</v>
      </c>
      <c r="E27" s="537">
        <v>0</v>
      </c>
      <c r="F27" s="537">
        <v>0</v>
      </c>
      <c r="G27" s="537">
        <f t="shared" si="1"/>
        <v>38721</v>
      </c>
      <c r="H27" s="537">
        <f t="shared" si="2"/>
        <v>31252</v>
      </c>
      <c r="I27" s="537">
        <f t="shared" si="3"/>
        <v>3004</v>
      </c>
      <c r="J27" s="537">
        <v>0</v>
      </c>
      <c r="K27" s="537">
        <f t="shared" si="4"/>
        <v>0</v>
      </c>
      <c r="L27" s="537">
        <f t="shared" si="0"/>
        <v>34256</v>
      </c>
      <c r="M27" s="537">
        <v>5375343</v>
      </c>
      <c r="N27" s="537">
        <v>516647</v>
      </c>
      <c r="O27" s="537">
        <v>0</v>
      </c>
      <c r="P27" s="537">
        <v>0</v>
      </c>
      <c r="Q27" s="537">
        <f t="shared" si="5"/>
        <v>5891990</v>
      </c>
    </row>
    <row r="28" spans="1:17" s="396" customFormat="1">
      <c r="A28" s="393">
        <v>18</v>
      </c>
      <c r="B28" s="536" t="s">
        <v>1002</v>
      </c>
      <c r="C28" s="537">
        <v>46972</v>
      </c>
      <c r="D28" s="537">
        <v>19290</v>
      </c>
      <c r="E28" s="537">
        <v>0</v>
      </c>
      <c r="F28" s="537">
        <v>0</v>
      </c>
      <c r="G28" s="537">
        <f t="shared" si="1"/>
        <v>66262</v>
      </c>
      <c r="H28" s="537">
        <f t="shared" si="2"/>
        <v>40673</v>
      </c>
      <c r="I28" s="537">
        <f t="shared" si="3"/>
        <v>16067</v>
      </c>
      <c r="J28" s="537">
        <v>0</v>
      </c>
      <c r="K28" s="537">
        <f t="shared" si="4"/>
        <v>0</v>
      </c>
      <c r="L28" s="537">
        <f t="shared" si="0"/>
        <v>56740</v>
      </c>
      <c r="M28" s="537">
        <v>6995698</v>
      </c>
      <c r="N28" s="537">
        <v>2763552</v>
      </c>
      <c r="O28" s="537">
        <v>0</v>
      </c>
      <c r="P28" s="537">
        <v>0</v>
      </c>
      <c r="Q28" s="537">
        <f t="shared" si="5"/>
        <v>9759250</v>
      </c>
    </row>
    <row r="29" spans="1:17" s="396" customFormat="1">
      <c r="A29" s="393">
        <v>19</v>
      </c>
      <c r="B29" s="536" t="s">
        <v>1010</v>
      </c>
      <c r="C29" s="537">
        <v>26376</v>
      </c>
      <c r="D29" s="537">
        <v>10167</v>
      </c>
      <c r="E29" s="537">
        <v>0</v>
      </c>
      <c r="F29" s="537">
        <v>0</v>
      </c>
      <c r="G29" s="537">
        <f t="shared" si="1"/>
        <v>36543</v>
      </c>
      <c r="H29" s="537">
        <f t="shared" si="2"/>
        <v>22691</v>
      </c>
      <c r="I29" s="537">
        <f t="shared" si="3"/>
        <v>8461</v>
      </c>
      <c r="J29" s="537">
        <v>0</v>
      </c>
      <c r="K29" s="537">
        <f t="shared" si="4"/>
        <v>0</v>
      </c>
      <c r="L29" s="537">
        <f t="shared" si="0"/>
        <v>31152</v>
      </c>
      <c r="M29" s="537">
        <v>3902937</v>
      </c>
      <c r="N29" s="537">
        <v>1455332</v>
      </c>
      <c r="O29" s="537">
        <v>0</v>
      </c>
      <c r="P29" s="537">
        <v>0</v>
      </c>
      <c r="Q29" s="537">
        <f t="shared" si="5"/>
        <v>5358269</v>
      </c>
    </row>
    <row r="30" spans="1:17" s="396" customFormat="1">
      <c r="A30" s="393">
        <v>20</v>
      </c>
      <c r="B30" s="536" t="s">
        <v>1003</v>
      </c>
      <c r="C30" s="537">
        <v>78599</v>
      </c>
      <c r="D30" s="537">
        <v>16038</v>
      </c>
      <c r="E30" s="537">
        <v>0</v>
      </c>
      <c r="F30" s="537">
        <v>0</v>
      </c>
      <c r="G30" s="537">
        <f t="shared" si="1"/>
        <v>94637</v>
      </c>
      <c r="H30" s="537">
        <f t="shared" si="2"/>
        <v>66049</v>
      </c>
      <c r="I30" s="537">
        <f t="shared" si="3"/>
        <v>10556</v>
      </c>
      <c r="J30" s="537">
        <v>0</v>
      </c>
      <c r="K30" s="537">
        <f t="shared" si="4"/>
        <v>0</v>
      </c>
      <c r="L30" s="537">
        <f t="shared" si="0"/>
        <v>76605</v>
      </c>
      <c r="M30" s="537">
        <v>11360372</v>
      </c>
      <c r="N30" s="537">
        <v>1815656</v>
      </c>
      <c r="O30" s="537">
        <v>0</v>
      </c>
      <c r="P30" s="537">
        <v>0</v>
      </c>
      <c r="Q30" s="537">
        <f t="shared" si="5"/>
        <v>13176028</v>
      </c>
    </row>
    <row r="31" spans="1:17" s="396" customFormat="1">
      <c r="A31" s="393">
        <v>21</v>
      </c>
      <c r="B31" s="536" t="s">
        <v>1012</v>
      </c>
      <c r="C31" s="537">
        <v>26836</v>
      </c>
      <c r="D31" s="537">
        <v>1772</v>
      </c>
      <c r="E31" s="537">
        <v>0</v>
      </c>
      <c r="F31" s="537">
        <v>0</v>
      </c>
      <c r="G31" s="537">
        <f t="shared" si="1"/>
        <v>28608</v>
      </c>
      <c r="H31" s="537">
        <f t="shared" si="2"/>
        <v>23229</v>
      </c>
      <c r="I31" s="537">
        <f t="shared" si="3"/>
        <v>1203</v>
      </c>
      <c r="J31" s="537">
        <v>0</v>
      </c>
      <c r="K31" s="537">
        <f t="shared" si="4"/>
        <v>0</v>
      </c>
      <c r="L31" s="537">
        <f t="shared" si="0"/>
        <v>24432</v>
      </c>
      <c r="M31" s="537">
        <v>3995359</v>
      </c>
      <c r="N31" s="537">
        <v>206875</v>
      </c>
      <c r="O31" s="537">
        <v>0</v>
      </c>
      <c r="P31" s="537">
        <v>0</v>
      </c>
      <c r="Q31" s="537">
        <f t="shared" si="5"/>
        <v>4202234</v>
      </c>
    </row>
    <row r="32" spans="1:17" s="396" customFormat="1">
      <c r="A32" s="393">
        <v>22</v>
      </c>
      <c r="B32" s="536" t="s">
        <v>1011</v>
      </c>
      <c r="C32" s="537">
        <v>39816</v>
      </c>
      <c r="D32" s="537">
        <v>4793</v>
      </c>
      <c r="E32" s="537">
        <v>0</v>
      </c>
      <c r="F32" s="537">
        <v>0</v>
      </c>
      <c r="G32" s="537">
        <f t="shared" si="1"/>
        <v>44609</v>
      </c>
      <c r="H32" s="537">
        <f t="shared" si="2"/>
        <v>36311</v>
      </c>
      <c r="I32" s="537">
        <f t="shared" si="3"/>
        <v>3749</v>
      </c>
      <c r="J32" s="537">
        <v>0</v>
      </c>
      <c r="K32" s="537">
        <f t="shared" si="4"/>
        <v>0</v>
      </c>
      <c r="L32" s="537">
        <f t="shared" si="0"/>
        <v>40060</v>
      </c>
      <c r="M32" s="537">
        <v>6245439</v>
      </c>
      <c r="N32" s="537">
        <v>644796</v>
      </c>
      <c r="O32" s="537">
        <v>0</v>
      </c>
      <c r="P32" s="537">
        <v>0</v>
      </c>
      <c r="Q32" s="537">
        <f t="shared" si="5"/>
        <v>6890235</v>
      </c>
    </row>
    <row r="33" spans="1:17" s="396" customFormat="1">
      <c r="A33" s="393">
        <v>23</v>
      </c>
      <c r="B33" s="536" t="s">
        <v>1005</v>
      </c>
      <c r="C33" s="537">
        <v>88870</v>
      </c>
      <c r="D33" s="537">
        <v>10596</v>
      </c>
      <c r="E33" s="537">
        <v>0</v>
      </c>
      <c r="F33" s="537">
        <v>0</v>
      </c>
      <c r="G33" s="537">
        <f t="shared" si="1"/>
        <v>99466</v>
      </c>
      <c r="H33" s="537">
        <f t="shared" si="2"/>
        <v>81990</v>
      </c>
      <c r="I33" s="537">
        <f t="shared" si="3"/>
        <v>8803</v>
      </c>
      <c r="J33" s="537">
        <v>0</v>
      </c>
      <c r="K33" s="537">
        <f t="shared" si="4"/>
        <v>0</v>
      </c>
      <c r="L33" s="537">
        <f t="shared" si="0"/>
        <v>90793</v>
      </c>
      <c r="M33" s="537">
        <v>14102333</v>
      </c>
      <c r="N33" s="537">
        <v>1514113</v>
      </c>
      <c r="O33" s="537">
        <v>0</v>
      </c>
      <c r="P33" s="537">
        <v>0</v>
      </c>
      <c r="Q33" s="537">
        <f t="shared" si="5"/>
        <v>15616446</v>
      </c>
    </row>
    <row r="34" spans="1:17">
      <c r="A34" s="393">
        <v>24</v>
      </c>
      <c r="B34" s="536" t="s">
        <v>972</v>
      </c>
      <c r="C34" s="537">
        <v>58097</v>
      </c>
      <c r="D34" s="537">
        <v>8495</v>
      </c>
      <c r="E34" s="537">
        <v>0</v>
      </c>
      <c r="F34" s="537">
        <v>0</v>
      </c>
      <c r="G34" s="537">
        <f t="shared" si="1"/>
        <v>66592</v>
      </c>
      <c r="H34" s="537">
        <f t="shared" si="2"/>
        <v>53101</v>
      </c>
      <c r="I34" s="537">
        <f t="shared" si="3"/>
        <v>6161</v>
      </c>
      <c r="J34" s="537">
        <v>0</v>
      </c>
      <c r="K34" s="537">
        <f t="shared" si="4"/>
        <v>0</v>
      </c>
      <c r="L34" s="537">
        <f t="shared" si="0"/>
        <v>59262</v>
      </c>
      <c r="M34" s="537">
        <v>9133454</v>
      </c>
      <c r="N34" s="537">
        <v>1059733</v>
      </c>
      <c r="O34" s="537">
        <v>0</v>
      </c>
      <c r="P34" s="537">
        <v>0</v>
      </c>
      <c r="Q34" s="537">
        <f t="shared" si="5"/>
        <v>10193187</v>
      </c>
    </row>
    <row r="35" spans="1:17">
      <c r="A35" s="393">
        <v>25</v>
      </c>
      <c r="B35" s="536" t="s">
        <v>999</v>
      </c>
      <c r="C35" s="537">
        <v>114855</v>
      </c>
      <c r="D35" s="537">
        <v>12733</v>
      </c>
      <c r="E35" s="537">
        <v>0</v>
      </c>
      <c r="F35" s="537">
        <v>0</v>
      </c>
      <c r="G35" s="537">
        <f t="shared" si="1"/>
        <v>127588</v>
      </c>
      <c r="H35" s="537">
        <f t="shared" si="2"/>
        <v>104493</v>
      </c>
      <c r="I35" s="537">
        <f t="shared" si="3"/>
        <v>11193</v>
      </c>
      <c r="J35" s="537">
        <v>0</v>
      </c>
      <c r="K35" s="537">
        <f t="shared" si="4"/>
        <v>0</v>
      </c>
      <c r="L35" s="537">
        <f t="shared" si="0"/>
        <v>115686</v>
      </c>
      <c r="M35" s="537">
        <v>17972738</v>
      </c>
      <c r="N35" s="537">
        <v>1925190</v>
      </c>
      <c r="O35" s="537">
        <v>0</v>
      </c>
      <c r="P35" s="537">
        <v>0</v>
      </c>
      <c r="Q35" s="537">
        <f t="shared" si="5"/>
        <v>19897928</v>
      </c>
    </row>
    <row r="36" spans="1:17">
      <c r="A36" s="393">
        <v>26</v>
      </c>
      <c r="B36" s="536" t="s">
        <v>973</v>
      </c>
      <c r="C36" s="537">
        <v>139979</v>
      </c>
      <c r="D36" s="537">
        <v>33815</v>
      </c>
      <c r="E36" s="537">
        <v>0</v>
      </c>
      <c r="F36" s="537">
        <v>0</v>
      </c>
      <c r="G36" s="537">
        <f t="shared" si="1"/>
        <v>173794</v>
      </c>
      <c r="H36" s="537">
        <f t="shared" si="2"/>
        <v>126843</v>
      </c>
      <c r="I36" s="537">
        <f t="shared" si="3"/>
        <v>29012</v>
      </c>
      <c r="J36" s="537">
        <v>0</v>
      </c>
      <c r="K36" s="537">
        <f t="shared" si="4"/>
        <v>0</v>
      </c>
      <c r="L36" s="537">
        <f t="shared" si="0"/>
        <v>155855</v>
      </c>
      <c r="M36" s="537">
        <v>21816937</v>
      </c>
      <c r="N36" s="537">
        <v>4990135</v>
      </c>
      <c r="O36" s="537">
        <v>0</v>
      </c>
      <c r="P36" s="537">
        <v>0</v>
      </c>
      <c r="Q36" s="537">
        <f t="shared" si="5"/>
        <v>26807072</v>
      </c>
    </row>
    <row r="37" spans="1:17" s="268" customFormat="1">
      <c r="A37" s="272">
        <v>27</v>
      </c>
      <c r="B37" s="536" t="s">
        <v>974</v>
      </c>
      <c r="C37" s="537">
        <v>109657</v>
      </c>
      <c r="D37" s="537">
        <v>22244</v>
      </c>
      <c r="E37" s="537">
        <v>0</v>
      </c>
      <c r="F37" s="537">
        <v>0</v>
      </c>
      <c r="G37" s="537">
        <f t="shared" si="1"/>
        <v>131901</v>
      </c>
      <c r="H37" s="537">
        <f t="shared" si="2"/>
        <v>109153</v>
      </c>
      <c r="I37" s="537">
        <f t="shared" si="3"/>
        <v>20746</v>
      </c>
      <c r="J37" s="537">
        <v>0</v>
      </c>
      <c r="K37" s="537">
        <f t="shared" si="4"/>
        <v>0</v>
      </c>
      <c r="L37" s="547">
        <f t="shared" si="0"/>
        <v>129899</v>
      </c>
      <c r="M37" s="547">
        <v>18774392</v>
      </c>
      <c r="N37" s="547">
        <v>3568284</v>
      </c>
      <c r="O37" s="547">
        <v>0</v>
      </c>
      <c r="P37" s="547">
        <v>0</v>
      </c>
      <c r="Q37" s="547">
        <f t="shared" si="5"/>
        <v>22342676</v>
      </c>
    </row>
    <row r="38" spans="1:17">
      <c r="A38" s="393">
        <v>28</v>
      </c>
      <c r="B38" s="536" t="s">
        <v>975</v>
      </c>
      <c r="C38" s="537">
        <v>147322</v>
      </c>
      <c r="D38" s="537">
        <v>20439</v>
      </c>
      <c r="E38" s="537">
        <v>0</v>
      </c>
      <c r="F38" s="537">
        <v>0</v>
      </c>
      <c r="G38" s="537">
        <f t="shared" si="1"/>
        <v>167761</v>
      </c>
      <c r="H38" s="537">
        <f t="shared" si="2"/>
        <v>131309</v>
      </c>
      <c r="I38" s="537">
        <f t="shared" si="3"/>
        <v>14796</v>
      </c>
      <c r="J38" s="537">
        <v>0</v>
      </c>
      <c r="K38" s="537">
        <f t="shared" si="4"/>
        <v>0</v>
      </c>
      <c r="L38" s="537">
        <f t="shared" si="0"/>
        <v>146105</v>
      </c>
      <c r="M38" s="537">
        <v>22585079</v>
      </c>
      <c r="N38" s="537">
        <v>2544976</v>
      </c>
      <c r="O38" s="537">
        <v>0</v>
      </c>
      <c r="P38" s="537">
        <v>0</v>
      </c>
      <c r="Q38" s="537">
        <f t="shared" si="5"/>
        <v>25130055</v>
      </c>
    </row>
    <row r="39" spans="1:17">
      <c r="A39" s="393">
        <v>29</v>
      </c>
      <c r="B39" s="536" t="s">
        <v>1000</v>
      </c>
      <c r="C39" s="537">
        <v>65233</v>
      </c>
      <c r="D39" s="537">
        <v>26331</v>
      </c>
      <c r="E39" s="537">
        <v>0</v>
      </c>
      <c r="F39" s="537">
        <v>1439</v>
      </c>
      <c r="G39" s="537">
        <f t="shared" si="1"/>
        <v>93003</v>
      </c>
      <c r="H39" s="537">
        <f t="shared" si="2"/>
        <v>57810</v>
      </c>
      <c r="I39" s="537">
        <f t="shared" si="3"/>
        <v>19395</v>
      </c>
      <c r="J39" s="537">
        <v>0</v>
      </c>
      <c r="K39" s="537">
        <f t="shared" si="4"/>
        <v>1174</v>
      </c>
      <c r="L39" s="537">
        <f t="shared" si="0"/>
        <v>78379</v>
      </c>
      <c r="M39" s="537">
        <v>9943340</v>
      </c>
      <c r="N39" s="537">
        <v>3335942</v>
      </c>
      <c r="O39" s="537">
        <v>0</v>
      </c>
      <c r="P39" s="537">
        <v>201897</v>
      </c>
      <c r="Q39" s="537">
        <f t="shared" si="5"/>
        <v>13481179</v>
      </c>
    </row>
    <row r="40" spans="1:17" s="268" customFormat="1">
      <c r="A40" s="272">
        <v>30</v>
      </c>
      <c r="B40" s="536" t="s">
        <v>976</v>
      </c>
      <c r="C40" s="537">
        <v>153237</v>
      </c>
      <c r="D40" s="537">
        <v>14690</v>
      </c>
      <c r="E40" s="537">
        <v>0</v>
      </c>
      <c r="F40" s="537">
        <v>0</v>
      </c>
      <c r="G40" s="537">
        <f t="shared" si="1"/>
        <v>167927</v>
      </c>
      <c r="H40" s="537">
        <f t="shared" si="2"/>
        <v>115265</v>
      </c>
      <c r="I40" s="537">
        <f t="shared" si="3"/>
        <v>13958</v>
      </c>
      <c r="J40" s="537">
        <v>0</v>
      </c>
      <c r="K40" s="537">
        <f t="shared" si="4"/>
        <v>0</v>
      </c>
      <c r="L40" s="547">
        <f t="shared" si="0"/>
        <v>129223</v>
      </c>
      <c r="M40" s="547">
        <v>19825521</v>
      </c>
      <c r="N40" s="547">
        <v>2400796</v>
      </c>
      <c r="O40" s="547">
        <v>0</v>
      </c>
      <c r="P40" s="547">
        <v>0</v>
      </c>
      <c r="Q40" s="547">
        <f t="shared" si="5"/>
        <v>22226317</v>
      </c>
    </row>
    <row r="41" spans="1:17">
      <c r="A41" s="393">
        <v>31</v>
      </c>
      <c r="B41" s="536" t="s">
        <v>977</v>
      </c>
      <c r="C41" s="537">
        <v>133060</v>
      </c>
      <c r="D41" s="537">
        <v>32665</v>
      </c>
      <c r="E41" s="537">
        <v>0</v>
      </c>
      <c r="F41" s="537">
        <v>0</v>
      </c>
      <c r="G41" s="537">
        <f t="shared" si="1"/>
        <v>165725</v>
      </c>
      <c r="H41" s="537">
        <f t="shared" si="2"/>
        <v>115654</v>
      </c>
      <c r="I41" s="537">
        <f t="shared" si="3"/>
        <v>24151</v>
      </c>
      <c r="J41" s="537">
        <v>0</v>
      </c>
      <c r="K41" s="537">
        <f t="shared" si="4"/>
        <v>0</v>
      </c>
      <c r="L41" s="537">
        <f t="shared" si="0"/>
        <v>139805</v>
      </c>
      <c r="M41" s="537">
        <v>19892560</v>
      </c>
      <c r="N41" s="537">
        <v>4153913</v>
      </c>
      <c r="O41" s="537">
        <v>0</v>
      </c>
      <c r="P41" s="537">
        <v>0</v>
      </c>
      <c r="Q41" s="537">
        <f t="shared" si="5"/>
        <v>24046473</v>
      </c>
    </row>
    <row r="42" spans="1:17">
      <c r="A42" s="393">
        <v>32</v>
      </c>
      <c r="B42" s="536" t="s">
        <v>978</v>
      </c>
      <c r="C42" s="537">
        <v>101218</v>
      </c>
      <c r="D42" s="537">
        <v>6489</v>
      </c>
      <c r="E42" s="537">
        <v>0</v>
      </c>
      <c r="F42" s="537">
        <v>0</v>
      </c>
      <c r="G42" s="537">
        <f t="shared" si="1"/>
        <v>107707</v>
      </c>
      <c r="H42" s="537">
        <f t="shared" si="2"/>
        <v>85418</v>
      </c>
      <c r="I42" s="537">
        <f t="shared" si="3"/>
        <v>5207</v>
      </c>
      <c r="J42" s="537">
        <v>0</v>
      </c>
      <c r="K42" s="537">
        <f t="shared" si="4"/>
        <v>0</v>
      </c>
      <c r="L42" s="537">
        <f t="shared" si="0"/>
        <v>90625</v>
      </c>
      <c r="M42" s="537">
        <v>14691864</v>
      </c>
      <c r="N42" s="537">
        <v>895583</v>
      </c>
      <c r="O42" s="537">
        <v>0</v>
      </c>
      <c r="P42" s="537">
        <v>0</v>
      </c>
      <c r="Q42" s="537">
        <f t="shared" si="5"/>
        <v>15587447</v>
      </c>
    </row>
    <row r="43" spans="1:17">
      <c r="A43" s="393">
        <v>33</v>
      </c>
      <c r="B43" s="536" t="s">
        <v>979</v>
      </c>
      <c r="C43" s="537">
        <v>135032</v>
      </c>
      <c r="D43" s="537">
        <v>9687</v>
      </c>
      <c r="E43" s="537">
        <v>0</v>
      </c>
      <c r="F43" s="537">
        <v>68</v>
      </c>
      <c r="G43" s="537">
        <f t="shared" si="1"/>
        <v>144787</v>
      </c>
      <c r="H43" s="537">
        <f t="shared" si="2"/>
        <v>129455</v>
      </c>
      <c r="I43" s="537">
        <f t="shared" si="3"/>
        <v>8651</v>
      </c>
      <c r="J43" s="537">
        <v>0</v>
      </c>
      <c r="K43" s="537">
        <f t="shared" si="4"/>
        <v>66</v>
      </c>
      <c r="L43" s="537">
        <f t="shared" si="0"/>
        <v>138172</v>
      </c>
      <c r="M43" s="537">
        <v>22266312</v>
      </c>
      <c r="N43" s="537">
        <v>1488038</v>
      </c>
      <c r="O43" s="537">
        <v>0</v>
      </c>
      <c r="P43" s="537">
        <v>11266</v>
      </c>
      <c r="Q43" s="537">
        <f t="shared" si="5"/>
        <v>23765616</v>
      </c>
    </row>
    <row r="44" spans="1:17">
      <c r="A44" s="393">
        <v>34</v>
      </c>
      <c r="B44" s="536" t="s">
        <v>980</v>
      </c>
      <c r="C44" s="537">
        <v>93865</v>
      </c>
      <c r="D44" s="537">
        <v>5580</v>
      </c>
      <c r="E44" s="537">
        <v>0</v>
      </c>
      <c r="F44" s="537">
        <v>0</v>
      </c>
      <c r="G44" s="537">
        <f t="shared" si="1"/>
        <v>99445</v>
      </c>
      <c r="H44" s="537">
        <f t="shared" si="2"/>
        <v>88022</v>
      </c>
      <c r="I44" s="537">
        <f t="shared" si="3"/>
        <v>4304</v>
      </c>
      <c r="J44" s="537">
        <v>0</v>
      </c>
      <c r="K44" s="537">
        <f t="shared" si="4"/>
        <v>0</v>
      </c>
      <c r="L44" s="537">
        <f t="shared" si="0"/>
        <v>92326</v>
      </c>
      <c r="M44" s="537">
        <v>15139727</v>
      </c>
      <c r="N44" s="537">
        <v>740264</v>
      </c>
      <c r="O44" s="537">
        <v>0</v>
      </c>
      <c r="P44" s="537">
        <v>0</v>
      </c>
      <c r="Q44" s="537">
        <f t="shared" si="5"/>
        <v>15879991</v>
      </c>
    </row>
    <row r="45" spans="1:17">
      <c r="A45" s="815" t="s">
        <v>17</v>
      </c>
      <c r="B45" s="816"/>
      <c r="C45" s="538">
        <f>SUM(C11:C44)</f>
        <v>2342477</v>
      </c>
      <c r="D45" s="538">
        <f t="shared" ref="D45:H45" si="6">SUM(D11:D44)</f>
        <v>399127</v>
      </c>
      <c r="E45" s="538">
        <f t="shared" si="6"/>
        <v>0</v>
      </c>
      <c r="F45" s="538">
        <f t="shared" si="6"/>
        <v>1534</v>
      </c>
      <c r="G45" s="538">
        <f t="shared" si="1"/>
        <v>2743138</v>
      </c>
      <c r="H45" s="538">
        <f t="shared" si="6"/>
        <v>2093939</v>
      </c>
      <c r="I45" s="538">
        <f t="shared" ref="I45" si="7">SUM(I11:I44)</f>
        <v>316958</v>
      </c>
      <c r="J45" s="538">
        <f t="shared" ref="J45" si="8">SUM(J11:J44)</f>
        <v>0</v>
      </c>
      <c r="K45" s="538">
        <f t="shared" ref="K45" si="9">SUM(K11:K44)</f>
        <v>1261</v>
      </c>
      <c r="L45" s="538">
        <f t="shared" ref="L45" si="10">SUM(L11:L44)</f>
        <v>2412158</v>
      </c>
      <c r="M45" s="538">
        <f>SUM(M11:M44)</f>
        <v>360156579</v>
      </c>
      <c r="N45" s="538">
        <f t="shared" ref="N45:Q45" si="11">SUM(N11:N44)</f>
        <v>54516793</v>
      </c>
      <c r="O45" s="538">
        <f t="shared" si="11"/>
        <v>0</v>
      </c>
      <c r="P45" s="538">
        <f t="shared" si="11"/>
        <v>216720</v>
      </c>
      <c r="Q45" s="538">
        <f t="shared" si="11"/>
        <v>414890092</v>
      </c>
    </row>
    <row r="46" spans="1:17">
      <c r="A46" s="71"/>
      <c r="B46" s="20"/>
      <c r="C46" s="20"/>
      <c r="D46" s="20"/>
      <c r="E46" s="20"/>
      <c r="F46" s="20"/>
      <c r="G46" s="20"/>
      <c r="H46" s="20"/>
      <c r="I46" s="20"/>
      <c r="J46" s="20"/>
      <c r="K46" s="20"/>
      <c r="L46" s="20"/>
      <c r="M46" s="20"/>
      <c r="N46" s="20"/>
      <c r="O46" s="20"/>
      <c r="P46" s="20"/>
      <c r="Q46" s="20"/>
    </row>
    <row r="47" spans="1:17">
      <c r="A47" s="10" t="s">
        <v>7</v>
      </c>
      <c r="B47"/>
      <c r="C47"/>
      <c r="D47"/>
      <c r="G47" s="734"/>
    </row>
    <row r="48" spans="1:17">
      <c r="A48" t="s">
        <v>8</v>
      </c>
      <c r="B48"/>
      <c r="C48"/>
      <c r="D48"/>
    </row>
    <row r="49" spans="1:17">
      <c r="A49" t="s">
        <v>9</v>
      </c>
      <c r="B49"/>
      <c r="C49"/>
      <c r="D49"/>
      <c r="F49" s="15">
        <f>G45+'enrolment vs availed_UPY'!G45</f>
        <v>4511680</v>
      </c>
      <c r="I49" s="11"/>
      <c r="J49" s="11"/>
      <c r="K49" s="11"/>
      <c r="L49" s="11"/>
    </row>
    <row r="50" spans="1:17" customFormat="1">
      <c r="A50" s="15" t="s">
        <v>430</v>
      </c>
      <c r="J50" s="11"/>
      <c r="K50" s="11"/>
      <c r="L50" s="11"/>
    </row>
    <row r="51" spans="1:17" customFormat="1">
      <c r="C51" s="15" t="s">
        <v>431</v>
      </c>
      <c r="E51" s="12"/>
      <c r="F51" s="12"/>
      <c r="G51" s="12"/>
      <c r="H51" s="12"/>
      <c r="I51" s="12"/>
      <c r="J51" s="12"/>
      <c r="K51" s="12"/>
      <c r="L51" s="12"/>
      <c r="M51" s="12"/>
    </row>
    <row r="52" spans="1:17" ht="12.75" customHeight="1"/>
    <row r="53" spans="1:17" ht="12.75" customHeight="1"/>
    <row r="54" spans="1:17" ht="12.75" customHeight="1">
      <c r="A54" s="396"/>
      <c r="B54" s="13"/>
      <c r="C54" s="13"/>
      <c r="D54" s="13"/>
      <c r="E54" s="13"/>
      <c r="F54" s="13"/>
      <c r="G54" s="13"/>
      <c r="H54" s="396"/>
      <c r="I54" s="396"/>
      <c r="J54" s="396"/>
      <c r="K54" s="396"/>
      <c r="L54" s="396"/>
      <c r="M54" s="804" t="s">
        <v>12</v>
      </c>
      <c r="N54" s="804"/>
      <c r="O54" s="804"/>
      <c r="P54" s="804"/>
      <c r="Q54" s="804"/>
    </row>
    <row r="55" spans="1:17" ht="15.75">
      <c r="A55" s="803" t="s">
        <v>906</v>
      </c>
      <c r="B55" s="803"/>
      <c r="C55" s="803"/>
      <c r="D55" s="803"/>
      <c r="E55" s="375"/>
      <c r="F55" s="375"/>
      <c r="G55" s="375"/>
      <c r="H55" s="396"/>
      <c r="I55" s="396"/>
      <c r="J55" s="396"/>
      <c r="K55" s="396"/>
      <c r="L55" s="396"/>
      <c r="M55" s="804" t="s">
        <v>13</v>
      </c>
      <c r="N55" s="804"/>
      <c r="O55" s="804"/>
      <c r="P55" s="804"/>
      <c r="Q55" s="804"/>
    </row>
    <row r="56" spans="1:17" ht="15.75">
      <c r="A56" s="804" t="s">
        <v>907</v>
      </c>
      <c r="B56" s="804"/>
      <c r="C56" s="804"/>
      <c r="D56" s="804"/>
      <c r="E56" s="375"/>
      <c r="F56" s="375"/>
      <c r="G56" s="375"/>
      <c r="H56" s="396"/>
      <c r="I56" s="396"/>
      <c r="J56" s="396"/>
      <c r="K56" s="396"/>
      <c r="L56" s="396"/>
      <c r="M56" s="804" t="s">
        <v>18</v>
      </c>
      <c r="N56" s="804"/>
      <c r="O56" s="804"/>
      <c r="P56" s="804"/>
      <c r="Q56" s="804"/>
    </row>
    <row r="57" spans="1:17">
      <c r="A57" s="804" t="s">
        <v>908</v>
      </c>
      <c r="B57" s="804"/>
      <c r="C57" s="804"/>
      <c r="D57" s="804"/>
      <c r="E57"/>
      <c r="F57"/>
      <c r="G57"/>
      <c r="H57" s="396"/>
      <c r="I57" s="396"/>
      <c r="J57" s="396"/>
      <c r="K57" s="396"/>
      <c r="L57" s="396"/>
      <c r="M57" s="14"/>
      <c r="N57" s="14"/>
      <c r="O57" s="392" t="s">
        <v>84</v>
      </c>
      <c r="P57" s="392"/>
      <c r="Q57" s="392"/>
    </row>
    <row r="58" spans="1:17">
      <c r="A58" s="926"/>
      <c r="B58" s="926"/>
      <c r="C58" s="926"/>
      <c r="D58" s="926"/>
      <c r="E58" s="926"/>
      <c r="F58" s="926"/>
      <c r="G58" s="926"/>
      <c r="H58" s="926"/>
      <c r="I58" s="926"/>
      <c r="J58" s="926"/>
      <c r="K58" s="926"/>
      <c r="L58" s="926"/>
      <c r="M58" s="396"/>
      <c r="N58" s="396"/>
      <c r="O58" s="396"/>
      <c r="P58" s="396"/>
      <c r="Q58" s="396"/>
    </row>
    <row r="59" spans="1:17" ht="15.75">
      <c r="A59" s="13" t="s">
        <v>11</v>
      </c>
      <c r="B59" s="396"/>
      <c r="C59" s="396"/>
      <c r="D59" s="396"/>
      <c r="E59" s="396"/>
      <c r="F59" s="396"/>
      <c r="G59" s="396"/>
      <c r="H59" s="396"/>
      <c r="I59" s="396"/>
      <c r="J59" s="396"/>
      <c r="K59" s="396"/>
      <c r="L59" s="396"/>
      <c r="M59" s="396"/>
      <c r="N59" s="396"/>
      <c r="O59" s="396"/>
      <c r="P59" s="396"/>
      <c r="Q59" s="396"/>
    </row>
    <row r="60" spans="1:17">
      <c r="A60" s="396"/>
      <c r="B60" s="396"/>
      <c r="C60" s="396"/>
      <c r="D60" s="396"/>
      <c r="E60" s="396"/>
      <c r="F60" s="396"/>
      <c r="G60" s="396"/>
      <c r="H60" s="396"/>
      <c r="I60" s="396"/>
      <c r="J60" s="396"/>
      <c r="K60" s="396"/>
      <c r="L60" s="396"/>
      <c r="M60" s="396"/>
      <c r="N60" s="396"/>
      <c r="O60" s="396"/>
      <c r="P60" s="396"/>
      <c r="Q60" s="396"/>
    </row>
  </sheetData>
  <mergeCells count="19">
    <mergeCell ref="A45:B45"/>
    <mergeCell ref="A57:D57"/>
    <mergeCell ref="A58:L58"/>
    <mergeCell ref="M54:Q54"/>
    <mergeCell ref="A55:D55"/>
    <mergeCell ref="M55:Q55"/>
    <mergeCell ref="A56:D56"/>
    <mergeCell ref="M56:Q56"/>
    <mergeCell ref="O1:Q1"/>
    <mergeCell ref="A8:A9"/>
    <mergeCell ref="B8:B9"/>
    <mergeCell ref="C8:G8"/>
    <mergeCell ref="H8:L8"/>
    <mergeCell ref="M8:Q8"/>
    <mergeCell ref="A7:B7"/>
    <mergeCell ref="N7:Q7"/>
    <mergeCell ref="A5:Q5"/>
    <mergeCell ref="A3:Q3"/>
    <mergeCell ref="A2:Q2"/>
  </mergeCells>
  <phoneticPr fontId="0" type="noConversion"/>
  <printOptions horizontalCentered="1"/>
  <pageMargins left="0.70866141732283472" right="0.70866141732283472" top="0.23622047244094491" bottom="0" header="0.31496062992125984" footer="0.31496062992125984"/>
  <pageSetup paperSize="9" scale="71" orientation="landscape"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S59"/>
  <sheetViews>
    <sheetView view="pageBreakPreview" topLeftCell="C16" zoomScale="120" zoomScaleNormal="90" zoomScaleSheetLayoutView="120" workbookViewId="0">
      <selection activeCell="C29" sqref="C29:Q29"/>
    </sheetView>
  </sheetViews>
  <sheetFormatPr defaultRowHeight="12.75"/>
  <cols>
    <col min="1" max="1" width="7.140625" style="15" customWidth="1"/>
    <col min="2" max="2" width="24.5703125" style="15" customWidth="1"/>
    <col min="3" max="3" width="9.5703125" style="15" customWidth="1"/>
    <col min="4" max="4" width="9.28515625" style="15" customWidth="1"/>
    <col min="5" max="6" width="9.140625" style="15"/>
    <col min="7" max="7" width="10.85546875" style="15" customWidth="1"/>
    <col min="8" max="8" width="10.28515625" style="15" customWidth="1"/>
    <col min="9" max="9" width="10.85546875" style="15" customWidth="1"/>
    <col min="10" max="10" width="10.28515625" style="15" customWidth="1"/>
    <col min="11" max="11" width="11.28515625" style="15" customWidth="1"/>
    <col min="12" max="12" width="11.7109375" style="15" customWidth="1"/>
    <col min="13" max="13" width="10.85546875" style="15" customWidth="1"/>
    <col min="14" max="14" width="11.5703125" style="15" customWidth="1"/>
    <col min="15" max="15" width="8.85546875" style="15" customWidth="1"/>
    <col min="16" max="16" width="9.140625" style="15"/>
    <col min="17" max="17" width="11" style="15" customWidth="1"/>
    <col min="18" max="18" width="9.140625" style="15" hidden="1" customWidth="1"/>
    <col min="19" max="16384" width="9.140625" style="15"/>
  </cols>
  <sheetData>
    <row r="1" spans="1:19" customFormat="1" ht="12.75" customHeight="1">
      <c r="D1" s="15"/>
      <c r="E1" s="15"/>
      <c r="F1" s="15"/>
      <c r="G1" s="15"/>
      <c r="H1" s="15"/>
      <c r="I1" s="15"/>
      <c r="J1" s="15"/>
      <c r="K1" s="15"/>
      <c r="L1" s="15"/>
      <c r="M1" s="15"/>
      <c r="N1" s="15"/>
      <c r="O1" s="846" t="s">
        <v>61</v>
      </c>
      <c r="P1" s="846"/>
      <c r="Q1" s="846"/>
    </row>
    <row r="2" spans="1:19" customFormat="1" ht="15.75">
      <c r="A2" s="847" t="s">
        <v>0</v>
      </c>
      <c r="B2" s="847"/>
      <c r="C2" s="847"/>
      <c r="D2" s="847"/>
      <c r="E2" s="847"/>
      <c r="F2" s="847"/>
      <c r="G2" s="847"/>
      <c r="H2" s="847"/>
      <c r="I2" s="847"/>
      <c r="J2" s="847"/>
      <c r="K2" s="847"/>
      <c r="L2" s="847"/>
      <c r="M2" s="42"/>
      <c r="N2" s="42"/>
      <c r="O2" s="42"/>
      <c r="P2" s="42"/>
    </row>
    <row r="3" spans="1:19" customFormat="1" ht="20.25">
      <c r="A3" s="848" t="s">
        <v>745</v>
      </c>
      <c r="B3" s="848"/>
      <c r="C3" s="848"/>
      <c r="D3" s="848"/>
      <c r="E3" s="848"/>
      <c r="F3" s="848"/>
      <c r="G3" s="848"/>
      <c r="H3" s="848"/>
      <c r="I3" s="848"/>
      <c r="J3" s="848"/>
      <c r="K3" s="848"/>
      <c r="L3" s="848"/>
      <c r="M3" s="41"/>
      <c r="N3" s="41"/>
      <c r="O3" s="41"/>
      <c r="P3" s="41"/>
    </row>
    <row r="4" spans="1:19" customFormat="1" ht="11.25" customHeight="1"/>
    <row r="5" spans="1:19" customFormat="1" ht="15.75">
      <c r="A5" s="925" t="s">
        <v>802</v>
      </c>
      <c r="B5" s="925"/>
      <c r="C5" s="925"/>
      <c r="D5" s="925"/>
      <c r="E5" s="925"/>
      <c r="F5" s="925"/>
      <c r="G5" s="925"/>
      <c r="H5" s="925"/>
      <c r="I5" s="925"/>
      <c r="J5" s="925"/>
      <c r="K5" s="925"/>
      <c r="L5" s="925"/>
      <c r="M5" s="15"/>
      <c r="N5" s="15"/>
      <c r="O5" s="15"/>
      <c r="P5" s="15"/>
    </row>
    <row r="7" spans="1:19" ht="12.6" customHeight="1">
      <c r="A7" s="850" t="s">
        <v>948</v>
      </c>
      <c r="B7" s="850"/>
      <c r="N7" s="914" t="s">
        <v>831</v>
      </c>
      <c r="O7" s="914"/>
      <c r="P7" s="914"/>
      <c r="Q7" s="914"/>
      <c r="R7" s="914"/>
    </row>
    <row r="8" spans="1:19" s="14" customFormat="1" ht="29.45" customHeight="1">
      <c r="A8" s="834" t="s">
        <v>2</v>
      </c>
      <c r="B8" s="834" t="s">
        <v>3</v>
      </c>
      <c r="C8" s="835" t="s">
        <v>764</v>
      </c>
      <c r="D8" s="835"/>
      <c r="E8" s="835"/>
      <c r="F8" s="835"/>
      <c r="G8" s="835"/>
      <c r="H8" s="921" t="s">
        <v>636</v>
      </c>
      <c r="I8" s="835"/>
      <c r="J8" s="835"/>
      <c r="K8" s="835"/>
      <c r="L8" s="835"/>
      <c r="M8" s="922" t="s">
        <v>112</v>
      </c>
      <c r="N8" s="923"/>
      <c r="O8" s="923"/>
      <c r="P8" s="923"/>
      <c r="Q8" s="924"/>
    </row>
    <row r="9" spans="1:19" s="14" customFormat="1" ht="38.25">
      <c r="A9" s="834"/>
      <c r="B9" s="834"/>
      <c r="C9" s="5" t="s">
        <v>211</v>
      </c>
      <c r="D9" s="5" t="s">
        <v>212</v>
      </c>
      <c r="E9" s="5" t="s">
        <v>357</v>
      </c>
      <c r="F9" s="7" t="s">
        <v>218</v>
      </c>
      <c r="G9" s="7" t="s">
        <v>117</v>
      </c>
      <c r="H9" s="5" t="s">
        <v>211</v>
      </c>
      <c r="I9" s="5" t="s">
        <v>212</v>
      </c>
      <c r="J9" s="5" t="s">
        <v>357</v>
      </c>
      <c r="K9" s="5" t="s">
        <v>218</v>
      </c>
      <c r="L9" s="5" t="s">
        <v>118</v>
      </c>
      <c r="M9" s="5" t="s">
        <v>211</v>
      </c>
      <c r="N9" s="5" t="s">
        <v>212</v>
      </c>
      <c r="O9" s="5" t="s">
        <v>357</v>
      </c>
      <c r="P9" s="7" t="s">
        <v>218</v>
      </c>
      <c r="Q9" s="5" t="s">
        <v>119</v>
      </c>
      <c r="R9" s="27"/>
      <c r="S9" s="28"/>
    </row>
    <row r="10" spans="1:19" s="14" customFormat="1">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19">
      <c r="A11" s="17">
        <v>1</v>
      </c>
      <c r="B11" s="536" t="s">
        <v>961</v>
      </c>
      <c r="C11" s="537">
        <v>26764</v>
      </c>
      <c r="D11" s="537">
        <v>16627</v>
      </c>
      <c r="E11" s="537">
        <v>0</v>
      </c>
      <c r="F11" s="537">
        <v>0</v>
      </c>
      <c r="G11" s="550">
        <f t="shared" ref="G11:G44" si="0">SUM(C11:F11)</f>
        <v>43391</v>
      </c>
      <c r="H11" s="537">
        <f>ROUND(M11/172,0)</f>
        <v>21379</v>
      </c>
      <c r="I11" s="537">
        <f>ROUND(N11/172,0)</f>
        <v>13442</v>
      </c>
      <c r="J11" s="537">
        <f>ROUND(O11/234,0)</f>
        <v>0</v>
      </c>
      <c r="K11" s="537">
        <f>ROUND(P11/172,0)</f>
        <v>0</v>
      </c>
      <c r="L11" s="537">
        <f>SUM(H11:K11)</f>
        <v>34821</v>
      </c>
      <c r="M11" s="537">
        <v>3677230</v>
      </c>
      <c r="N11" s="537">
        <v>2312093</v>
      </c>
      <c r="O11" s="537">
        <v>0</v>
      </c>
      <c r="P11" s="537">
        <v>0</v>
      </c>
      <c r="Q11" s="537">
        <f>M11+N11+O11+P11</f>
        <v>5989323</v>
      </c>
    </row>
    <row r="12" spans="1:19">
      <c r="A12" s="17">
        <v>2</v>
      </c>
      <c r="B12" s="536" t="s">
        <v>962</v>
      </c>
      <c r="C12" s="537">
        <v>38539</v>
      </c>
      <c r="D12" s="537">
        <v>22576</v>
      </c>
      <c r="E12" s="537">
        <v>0</v>
      </c>
      <c r="F12" s="537">
        <v>0</v>
      </c>
      <c r="G12" s="551">
        <f t="shared" si="0"/>
        <v>61115</v>
      </c>
      <c r="H12" s="537">
        <f t="shared" ref="H12:H44" si="1">ROUND(M12/172,0)</f>
        <v>33195</v>
      </c>
      <c r="I12" s="537">
        <f t="shared" ref="I12:I44" si="2">ROUND(N12/172,0)</f>
        <v>19519</v>
      </c>
      <c r="J12" s="537">
        <f t="shared" ref="J12:J44" si="3">ROUND(O12/234,0)</f>
        <v>0</v>
      </c>
      <c r="K12" s="537">
        <f t="shared" ref="K12:K44" si="4">ROUND(P12/172,0)</f>
        <v>0</v>
      </c>
      <c r="L12" s="537">
        <f t="shared" ref="L12:L44" si="5">SUM(H12:K12)</f>
        <v>52714</v>
      </c>
      <c r="M12" s="537">
        <v>5709621</v>
      </c>
      <c r="N12" s="537">
        <v>3357290</v>
      </c>
      <c r="O12" s="537">
        <v>0</v>
      </c>
      <c r="P12" s="537">
        <v>0</v>
      </c>
      <c r="Q12" s="537">
        <f t="shared" ref="Q12:Q44" si="6">M12+N12+O12+P12</f>
        <v>9066911</v>
      </c>
    </row>
    <row r="13" spans="1:19" s="268" customFormat="1">
      <c r="A13" s="272">
        <v>3</v>
      </c>
      <c r="B13" s="536" t="s">
        <v>963</v>
      </c>
      <c r="C13" s="537">
        <v>37848</v>
      </c>
      <c r="D13" s="537">
        <v>13691</v>
      </c>
      <c r="E13" s="537">
        <v>0</v>
      </c>
      <c r="F13" s="537">
        <v>0</v>
      </c>
      <c r="G13" s="550">
        <f t="shared" si="0"/>
        <v>51539</v>
      </c>
      <c r="H13" s="547">
        <f t="shared" si="1"/>
        <v>37373</v>
      </c>
      <c r="I13" s="547">
        <f t="shared" si="2"/>
        <v>13395</v>
      </c>
      <c r="J13" s="547">
        <f t="shared" si="3"/>
        <v>0</v>
      </c>
      <c r="K13" s="547">
        <f t="shared" si="4"/>
        <v>0</v>
      </c>
      <c r="L13" s="547">
        <f t="shared" si="5"/>
        <v>50768</v>
      </c>
      <c r="M13" s="547">
        <v>6428232</v>
      </c>
      <c r="N13" s="547">
        <v>2303937</v>
      </c>
      <c r="O13" s="547">
        <v>0</v>
      </c>
      <c r="P13" s="547">
        <v>0</v>
      </c>
      <c r="Q13" s="547">
        <f t="shared" si="6"/>
        <v>8732169</v>
      </c>
    </row>
    <row r="14" spans="1:19">
      <c r="A14" s="393">
        <v>4</v>
      </c>
      <c r="B14" s="536" t="s">
        <v>964</v>
      </c>
      <c r="C14" s="537">
        <v>31727</v>
      </c>
      <c r="D14" s="537">
        <v>15081</v>
      </c>
      <c r="E14" s="537">
        <v>0</v>
      </c>
      <c r="F14" s="537">
        <v>0</v>
      </c>
      <c r="G14" s="550">
        <f t="shared" si="0"/>
        <v>46808</v>
      </c>
      <c r="H14" s="537">
        <f t="shared" si="1"/>
        <v>28936</v>
      </c>
      <c r="I14" s="537">
        <f t="shared" si="2"/>
        <v>11861</v>
      </c>
      <c r="J14" s="537">
        <f t="shared" si="3"/>
        <v>0</v>
      </c>
      <c r="K14" s="537">
        <f t="shared" si="4"/>
        <v>0</v>
      </c>
      <c r="L14" s="537">
        <f t="shared" si="5"/>
        <v>40797</v>
      </c>
      <c r="M14" s="537">
        <v>4976982</v>
      </c>
      <c r="N14" s="537">
        <v>2040174</v>
      </c>
      <c r="O14" s="537">
        <v>0</v>
      </c>
      <c r="P14" s="537">
        <v>0</v>
      </c>
      <c r="Q14" s="537">
        <f t="shared" si="6"/>
        <v>7017156</v>
      </c>
    </row>
    <row r="15" spans="1:19">
      <c r="A15" s="393">
        <v>5</v>
      </c>
      <c r="B15" s="536" t="s">
        <v>1009</v>
      </c>
      <c r="C15" s="537">
        <v>35557</v>
      </c>
      <c r="D15" s="537">
        <v>11952</v>
      </c>
      <c r="E15" s="537">
        <v>0</v>
      </c>
      <c r="F15" s="537">
        <v>609</v>
      </c>
      <c r="G15" s="550">
        <f t="shared" si="0"/>
        <v>48118</v>
      </c>
      <c r="H15" s="537">
        <f t="shared" si="1"/>
        <v>30591</v>
      </c>
      <c r="I15" s="537">
        <f t="shared" si="2"/>
        <v>9471</v>
      </c>
      <c r="J15" s="537">
        <f t="shared" si="3"/>
        <v>0</v>
      </c>
      <c r="K15" s="537">
        <f t="shared" si="4"/>
        <v>457</v>
      </c>
      <c r="L15" s="537">
        <f t="shared" si="5"/>
        <v>40519</v>
      </c>
      <c r="M15" s="537">
        <v>5261615</v>
      </c>
      <c r="N15" s="537">
        <v>1629021</v>
      </c>
      <c r="O15" s="537">
        <v>0</v>
      </c>
      <c r="P15" s="537">
        <v>78664</v>
      </c>
      <c r="Q15" s="537">
        <f t="shared" si="6"/>
        <v>6969300</v>
      </c>
    </row>
    <row r="16" spans="1:19">
      <c r="A16" s="393">
        <v>6</v>
      </c>
      <c r="B16" s="536" t="s">
        <v>965</v>
      </c>
      <c r="C16" s="537">
        <v>18904</v>
      </c>
      <c r="D16" s="537">
        <v>3466</v>
      </c>
      <c r="E16" s="537">
        <v>82</v>
      </c>
      <c r="F16" s="537">
        <v>0</v>
      </c>
      <c r="G16" s="550">
        <f t="shared" si="0"/>
        <v>22452</v>
      </c>
      <c r="H16" s="537">
        <f t="shared" si="1"/>
        <v>18519</v>
      </c>
      <c r="I16" s="537">
        <f t="shared" si="2"/>
        <v>2981</v>
      </c>
      <c r="J16" s="537">
        <f t="shared" si="3"/>
        <v>78</v>
      </c>
      <c r="K16" s="537">
        <f t="shared" si="4"/>
        <v>0</v>
      </c>
      <c r="L16" s="537">
        <f t="shared" si="5"/>
        <v>21578</v>
      </c>
      <c r="M16" s="537">
        <v>3185237</v>
      </c>
      <c r="N16" s="537">
        <v>512682</v>
      </c>
      <c r="O16" s="537">
        <v>18216</v>
      </c>
      <c r="P16" s="537">
        <v>0</v>
      </c>
      <c r="Q16" s="537">
        <f t="shared" si="6"/>
        <v>3716135</v>
      </c>
    </row>
    <row r="17" spans="1:17" s="268" customFormat="1">
      <c r="A17" s="272">
        <v>7</v>
      </c>
      <c r="B17" s="536" t="s">
        <v>966</v>
      </c>
      <c r="C17" s="537">
        <v>18783</v>
      </c>
      <c r="D17" s="537">
        <v>5681</v>
      </c>
      <c r="E17" s="537">
        <v>0</v>
      </c>
      <c r="F17" s="537">
        <v>0</v>
      </c>
      <c r="G17" s="550">
        <f t="shared" si="0"/>
        <v>24464</v>
      </c>
      <c r="H17" s="547">
        <f t="shared" si="1"/>
        <v>18608</v>
      </c>
      <c r="I17" s="547">
        <f t="shared" si="2"/>
        <v>726</v>
      </c>
      <c r="J17" s="547">
        <f t="shared" si="3"/>
        <v>0</v>
      </c>
      <c r="K17" s="547">
        <f t="shared" si="4"/>
        <v>0</v>
      </c>
      <c r="L17" s="547">
        <f t="shared" si="5"/>
        <v>19334</v>
      </c>
      <c r="M17" s="547">
        <v>3200646</v>
      </c>
      <c r="N17" s="547">
        <v>124796</v>
      </c>
      <c r="O17" s="547">
        <v>0</v>
      </c>
      <c r="P17" s="547">
        <v>0</v>
      </c>
      <c r="Q17" s="547">
        <f t="shared" si="6"/>
        <v>3325442</v>
      </c>
    </row>
    <row r="18" spans="1:17" s="268" customFormat="1">
      <c r="A18" s="272">
        <v>8</v>
      </c>
      <c r="B18" s="536" t="s">
        <v>967</v>
      </c>
      <c r="C18" s="537">
        <v>27298</v>
      </c>
      <c r="D18" s="537">
        <v>6940</v>
      </c>
      <c r="E18" s="537">
        <v>0</v>
      </c>
      <c r="F18" s="537">
        <v>94</v>
      </c>
      <c r="G18" s="550">
        <f t="shared" si="0"/>
        <v>34332</v>
      </c>
      <c r="H18" s="547">
        <f t="shared" si="1"/>
        <v>27020</v>
      </c>
      <c r="I18" s="547">
        <f t="shared" si="2"/>
        <v>6804</v>
      </c>
      <c r="J18" s="547">
        <f t="shared" si="3"/>
        <v>0</v>
      </c>
      <c r="K18" s="547">
        <f t="shared" si="4"/>
        <v>85</v>
      </c>
      <c r="L18" s="547">
        <f t="shared" si="5"/>
        <v>33909</v>
      </c>
      <c r="M18" s="547">
        <v>4647519</v>
      </c>
      <c r="N18" s="547">
        <v>1170265</v>
      </c>
      <c r="O18" s="547">
        <v>0</v>
      </c>
      <c r="P18" s="547">
        <v>14650</v>
      </c>
      <c r="Q18" s="547">
        <f t="shared" si="6"/>
        <v>5832434</v>
      </c>
    </row>
    <row r="19" spans="1:17" s="268" customFormat="1">
      <c r="A19" s="272">
        <v>9</v>
      </c>
      <c r="B19" s="536" t="s">
        <v>968</v>
      </c>
      <c r="C19" s="537">
        <v>23134</v>
      </c>
      <c r="D19" s="537">
        <v>5372</v>
      </c>
      <c r="E19" s="537">
        <v>0</v>
      </c>
      <c r="F19" s="537">
        <v>0</v>
      </c>
      <c r="G19" s="550">
        <f t="shared" si="0"/>
        <v>28506</v>
      </c>
      <c r="H19" s="547">
        <f t="shared" si="1"/>
        <v>22893</v>
      </c>
      <c r="I19" s="547">
        <f t="shared" si="2"/>
        <v>5202</v>
      </c>
      <c r="J19" s="547">
        <f t="shared" si="3"/>
        <v>0</v>
      </c>
      <c r="K19" s="547">
        <f t="shared" si="4"/>
        <v>0</v>
      </c>
      <c r="L19" s="547">
        <f t="shared" si="5"/>
        <v>28095</v>
      </c>
      <c r="M19" s="547">
        <v>3937552</v>
      </c>
      <c r="N19" s="547">
        <v>894810</v>
      </c>
      <c r="O19" s="547">
        <v>0</v>
      </c>
      <c r="P19" s="547">
        <v>0</v>
      </c>
      <c r="Q19" s="547">
        <f t="shared" si="6"/>
        <v>4832362</v>
      </c>
    </row>
    <row r="20" spans="1:17" s="396" customFormat="1">
      <c r="A20" s="393">
        <v>10</v>
      </c>
      <c r="B20" s="536" t="s">
        <v>970</v>
      </c>
      <c r="C20" s="537">
        <v>29523</v>
      </c>
      <c r="D20" s="537">
        <v>14909</v>
      </c>
      <c r="E20" s="537">
        <v>0</v>
      </c>
      <c r="F20" s="537">
        <v>0</v>
      </c>
      <c r="G20" s="550">
        <f t="shared" si="0"/>
        <v>44432</v>
      </c>
      <c r="H20" s="537">
        <f t="shared" si="1"/>
        <v>26970</v>
      </c>
      <c r="I20" s="537">
        <f t="shared" si="2"/>
        <v>14093</v>
      </c>
      <c r="J20" s="537">
        <f t="shared" si="3"/>
        <v>0</v>
      </c>
      <c r="K20" s="537">
        <f t="shared" si="4"/>
        <v>0</v>
      </c>
      <c r="L20" s="537">
        <f t="shared" si="5"/>
        <v>41063</v>
      </c>
      <c r="M20" s="537">
        <v>4638915</v>
      </c>
      <c r="N20" s="537">
        <v>2423916</v>
      </c>
      <c r="O20" s="537">
        <v>0</v>
      </c>
      <c r="P20" s="537">
        <v>0</v>
      </c>
      <c r="Q20" s="537">
        <f t="shared" si="6"/>
        <v>7062831</v>
      </c>
    </row>
    <row r="21" spans="1:17" s="396" customFormat="1">
      <c r="A21" s="393">
        <v>11</v>
      </c>
      <c r="B21" s="536" t="s">
        <v>969</v>
      </c>
      <c r="C21" s="537">
        <v>21874</v>
      </c>
      <c r="D21" s="537">
        <v>4899</v>
      </c>
      <c r="E21" s="537">
        <v>0</v>
      </c>
      <c r="F21" s="537">
        <v>0</v>
      </c>
      <c r="G21" s="551">
        <f t="shared" si="0"/>
        <v>26773</v>
      </c>
      <c r="H21" s="537">
        <f t="shared" si="1"/>
        <v>20572</v>
      </c>
      <c r="I21" s="537">
        <f t="shared" si="2"/>
        <v>4657</v>
      </c>
      <c r="J21" s="537">
        <f t="shared" si="3"/>
        <v>0</v>
      </c>
      <c r="K21" s="537">
        <f t="shared" si="4"/>
        <v>0</v>
      </c>
      <c r="L21" s="537">
        <f t="shared" si="5"/>
        <v>25229</v>
      </c>
      <c r="M21" s="537">
        <v>3538448</v>
      </c>
      <c r="N21" s="537">
        <v>801066</v>
      </c>
      <c r="O21" s="537">
        <v>0</v>
      </c>
      <c r="P21" s="537">
        <v>0</v>
      </c>
      <c r="Q21" s="537">
        <f t="shared" si="6"/>
        <v>4339514</v>
      </c>
    </row>
    <row r="22" spans="1:17" s="396" customFormat="1">
      <c r="A22" s="393">
        <v>12</v>
      </c>
      <c r="B22" s="536" t="s">
        <v>1008</v>
      </c>
      <c r="C22" s="537">
        <v>54600</v>
      </c>
      <c r="D22" s="537">
        <v>17680</v>
      </c>
      <c r="E22" s="537">
        <v>30</v>
      </c>
      <c r="F22" s="537">
        <v>62</v>
      </c>
      <c r="G22" s="550">
        <f t="shared" si="0"/>
        <v>72372</v>
      </c>
      <c r="H22" s="537">
        <f t="shared" si="1"/>
        <v>51533</v>
      </c>
      <c r="I22" s="537">
        <f t="shared" si="2"/>
        <v>13127</v>
      </c>
      <c r="J22" s="537">
        <f t="shared" si="3"/>
        <v>7</v>
      </c>
      <c r="K22" s="537">
        <f t="shared" si="4"/>
        <v>53</v>
      </c>
      <c r="L22" s="537">
        <f t="shared" si="5"/>
        <v>64720</v>
      </c>
      <c r="M22" s="537">
        <v>8863646</v>
      </c>
      <c r="N22" s="537">
        <v>2257800</v>
      </c>
      <c r="O22" s="537">
        <v>1678</v>
      </c>
      <c r="P22" s="537">
        <v>9097</v>
      </c>
      <c r="Q22" s="537">
        <f t="shared" si="6"/>
        <v>11132221</v>
      </c>
    </row>
    <row r="23" spans="1:17" s="396" customFormat="1">
      <c r="A23" s="393">
        <v>13</v>
      </c>
      <c r="B23" s="536" t="s">
        <v>1007</v>
      </c>
      <c r="C23" s="537">
        <v>28393</v>
      </c>
      <c r="D23" s="537">
        <v>8452</v>
      </c>
      <c r="E23" s="537">
        <v>0</v>
      </c>
      <c r="F23" s="537">
        <v>0</v>
      </c>
      <c r="G23" s="550">
        <f t="shared" si="0"/>
        <v>36845</v>
      </c>
      <c r="H23" s="537">
        <f t="shared" si="1"/>
        <v>25637</v>
      </c>
      <c r="I23" s="537">
        <f t="shared" si="2"/>
        <v>6947</v>
      </c>
      <c r="J23" s="537">
        <f t="shared" si="3"/>
        <v>0</v>
      </c>
      <c r="K23" s="537">
        <f t="shared" si="4"/>
        <v>0</v>
      </c>
      <c r="L23" s="537">
        <f t="shared" si="5"/>
        <v>32584</v>
      </c>
      <c r="M23" s="537">
        <v>4409519</v>
      </c>
      <c r="N23" s="537">
        <v>1194813</v>
      </c>
      <c r="O23" s="537">
        <v>0</v>
      </c>
      <c r="P23" s="537">
        <v>0</v>
      </c>
      <c r="Q23" s="537">
        <f t="shared" si="6"/>
        <v>5604332</v>
      </c>
    </row>
    <row r="24" spans="1:17" s="396" customFormat="1">
      <c r="A24" s="393">
        <v>14</v>
      </c>
      <c r="B24" s="536" t="s">
        <v>971</v>
      </c>
      <c r="C24" s="537">
        <v>20956</v>
      </c>
      <c r="D24" s="537">
        <v>5449</v>
      </c>
      <c r="E24" s="537">
        <v>0</v>
      </c>
      <c r="F24" s="537">
        <v>42</v>
      </c>
      <c r="G24" s="551">
        <f t="shared" si="0"/>
        <v>26447</v>
      </c>
      <c r="H24" s="537">
        <f t="shared" si="1"/>
        <v>18772</v>
      </c>
      <c r="I24" s="537">
        <f t="shared" si="2"/>
        <v>4507</v>
      </c>
      <c r="J24" s="537">
        <f t="shared" si="3"/>
        <v>0</v>
      </c>
      <c r="K24" s="537">
        <f t="shared" si="4"/>
        <v>31</v>
      </c>
      <c r="L24" s="537">
        <f t="shared" si="5"/>
        <v>23310</v>
      </c>
      <c r="M24" s="537">
        <v>3228756</v>
      </c>
      <c r="N24" s="537">
        <v>775122</v>
      </c>
      <c r="O24" s="537">
        <v>0</v>
      </c>
      <c r="P24" s="537">
        <v>5352</v>
      </c>
      <c r="Q24" s="537">
        <f t="shared" si="6"/>
        <v>4009230</v>
      </c>
    </row>
    <row r="25" spans="1:17" s="396" customFormat="1">
      <c r="A25" s="393">
        <v>15</v>
      </c>
      <c r="B25" s="536" t="s">
        <v>1006</v>
      </c>
      <c r="C25" s="537">
        <v>7802</v>
      </c>
      <c r="D25" s="537">
        <v>3190</v>
      </c>
      <c r="E25" s="537">
        <v>0</v>
      </c>
      <c r="F25" s="537">
        <v>0</v>
      </c>
      <c r="G25" s="550">
        <f t="shared" si="0"/>
        <v>10992</v>
      </c>
      <c r="H25" s="537">
        <f t="shared" si="1"/>
        <v>5916</v>
      </c>
      <c r="I25" s="537">
        <f t="shared" si="2"/>
        <v>3066</v>
      </c>
      <c r="J25" s="537">
        <f t="shared" si="3"/>
        <v>0</v>
      </c>
      <c r="K25" s="537">
        <f t="shared" si="4"/>
        <v>0</v>
      </c>
      <c r="L25" s="537">
        <f t="shared" si="5"/>
        <v>8982</v>
      </c>
      <c r="M25" s="537">
        <v>1017619</v>
      </c>
      <c r="N25" s="537">
        <v>527422</v>
      </c>
      <c r="O25" s="537">
        <v>0</v>
      </c>
      <c r="P25" s="537">
        <v>0</v>
      </c>
      <c r="Q25" s="537">
        <f t="shared" si="6"/>
        <v>1545041</v>
      </c>
    </row>
    <row r="26" spans="1:17" s="396" customFormat="1">
      <c r="A26" s="393">
        <v>16</v>
      </c>
      <c r="B26" s="536" t="s">
        <v>1004</v>
      </c>
      <c r="C26" s="537">
        <v>29041</v>
      </c>
      <c r="D26" s="537">
        <v>8237</v>
      </c>
      <c r="E26" s="537">
        <v>0</v>
      </c>
      <c r="F26" s="537">
        <v>16</v>
      </c>
      <c r="G26" s="550">
        <f t="shared" si="0"/>
        <v>37294</v>
      </c>
      <c r="H26" s="537">
        <f t="shared" si="1"/>
        <v>28679</v>
      </c>
      <c r="I26" s="537">
        <f t="shared" si="2"/>
        <v>7924</v>
      </c>
      <c r="J26" s="537">
        <f t="shared" si="3"/>
        <v>0</v>
      </c>
      <c r="K26" s="537">
        <f t="shared" si="4"/>
        <v>14</v>
      </c>
      <c r="L26" s="537">
        <f t="shared" si="5"/>
        <v>36617</v>
      </c>
      <c r="M26" s="537">
        <v>4932758</v>
      </c>
      <c r="N26" s="537">
        <v>1362842</v>
      </c>
      <c r="O26" s="537">
        <v>0</v>
      </c>
      <c r="P26" s="537">
        <v>2436</v>
      </c>
      <c r="Q26" s="537">
        <f t="shared" si="6"/>
        <v>6298036</v>
      </c>
    </row>
    <row r="27" spans="1:17" s="396" customFormat="1">
      <c r="A27" s="393">
        <v>17</v>
      </c>
      <c r="B27" s="536" t="s">
        <v>1001</v>
      </c>
      <c r="C27" s="537">
        <v>19636</v>
      </c>
      <c r="D27" s="537">
        <v>6043</v>
      </c>
      <c r="E27" s="537">
        <v>0</v>
      </c>
      <c r="F27" s="537">
        <v>0</v>
      </c>
      <c r="G27" s="550">
        <f t="shared" si="0"/>
        <v>25679</v>
      </c>
      <c r="H27" s="537">
        <f t="shared" si="1"/>
        <v>16718</v>
      </c>
      <c r="I27" s="537">
        <f t="shared" si="2"/>
        <v>4395</v>
      </c>
      <c r="J27" s="537">
        <f t="shared" si="3"/>
        <v>0</v>
      </c>
      <c r="K27" s="537">
        <f t="shared" si="4"/>
        <v>0</v>
      </c>
      <c r="L27" s="537">
        <f t="shared" si="5"/>
        <v>21113</v>
      </c>
      <c r="M27" s="537">
        <v>2875569</v>
      </c>
      <c r="N27" s="537">
        <v>755964</v>
      </c>
      <c r="O27" s="537">
        <v>0</v>
      </c>
      <c r="P27" s="537">
        <v>0</v>
      </c>
      <c r="Q27" s="537">
        <f t="shared" si="6"/>
        <v>3631533</v>
      </c>
    </row>
    <row r="28" spans="1:17" s="396" customFormat="1">
      <c r="A28" s="393">
        <v>18</v>
      </c>
      <c r="B28" s="536" t="s">
        <v>1002</v>
      </c>
      <c r="C28" s="537">
        <v>30289</v>
      </c>
      <c r="D28" s="537">
        <v>17766</v>
      </c>
      <c r="E28" s="537">
        <v>0</v>
      </c>
      <c r="F28" s="537">
        <v>0</v>
      </c>
      <c r="G28" s="550">
        <f t="shared" si="0"/>
        <v>48055</v>
      </c>
      <c r="H28" s="537">
        <f t="shared" si="1"/>
        <v>25983</v>
      </c>
      <c r="I28" s="537">
        <f t="shared" si="2"/>
        <v>14821</v>
      </c>
      <c r="J28" s="537">
        <f t="shared" si="3"/>
        <v>0</v>
      </c>
      <c r="K28" s="537">
        <f t="shared" si="4"/>
        <v>0</v>
      </c>
      <c r="L28" s="537">
        <f t="shared" si="5"/>
        <v>40804</v>
      </c>
      <c r="M28" s="537">
        <v>4469138</v>
      </c>
      <c r="N28" s="537">
        <v>2549190</v>
      </c>
      <c r="O28" s="537">
        <v>0</v>
      </c>
      <c r="P28" s="537">
        <v>0</v>
      </c>
      <c r="Q28" s="537">
        <f t="shared" si="6"/>
        <v>7018328</v>
      </c>
    </row>
    <row r="29" spans="1:17" s="396" customFormat="1">
      <c r="A29" s="393">
        <v>19</v>
      </c>
      <c r="B29" s="536" t="s">
        <v>1010</v>
      </c>
      <c r="C29" s="537">
        <v>17514</v>
      </c>
      <c r="D29" s="537">
        <v>8694</v>
      </c>
      <c r="E29" s="537">
        <v>0</v>
      </c>
      <c r="F29" s="537">
        <v>0</v>
      </c>
      <c r="G29" s="551">
        <f t="shared" si="0"/>
        <v>26208</v>
      </c>
      <c r="H29" s="537">
        <f t="shared" si="1"/>
        <v>14552</v>
      </c>
      <c r="I29" s="537">
        <f t="shared" si="2"/>
        <v>7156</v>
      </c>
      <c r="J29" s="537">
        <f t="shared" si="3"/>
        <v>0</v>
      </c>
      <c r="K29" s="537">
        <f t="shared" si="4"/>
        <v>0</v>
      </c>
      <c r="L29" s="537">
        <f t="shared" si="5"/>
        <v>21708</v>
      </c>
      <c r="M29" s="537">
        <v>2502958</v>
      </c>
      <c r="N29" s="537">
        <v>1230753</v>
      </c>
      <c r="O29" s="537">
        <v>0</v>
      </c>
      <c r="P29" s="537">
        <v>0</v>
      </c>
      <c r="Q29" s="537">
        <f t="shared" si="6"/>
        <v>3733711</v>
      </c>
    </row>
    <row r="30" spans="1:17" s="396" customFormat="1">
      <c r="A30" s="393">
        <v>20</v>
      </c>
      <c r="B30" s="536" t="s">
        <v>1003</v>
      </c>
      <c r="C30" s="537">
        <v>44597</v>
      </c>
      <c r="D30" s="537">
        <v>18798</v>
      </c>
      <c r="E30" s="537">
        <v>0</v>
      </c>
      <c r="F30" s="537">
        <v>0</v>
      </c>
      <c r="G30" s="550">
        <f t="shared" si="0"/>
        <v>63395</v>
      </c>
      <c r="H30" s="537">
        <f t="shared" si="1"/>
        <v>35770</v>
      </c>
      <c r="I30" s="537">
        <f t="shared" si="2"/>
        <v>13242</v>
      </c>
      <c r="J30" s="537">
        <f t="shared" si="3"/>
        <v>0</v>
      </c>
      <c r="K30" s="537">
        <f t="shared" si="4"/>
        <v>0</v>
      </c>
      <c r="L30" s="537">
        <f t="shared" si="5"/>
        <v>49012</v>
      </c>
      <c r="M30" s="537">
        <v>6152478</v>
      </c>
      <c r="N30" s="537">
        <v>2277650</v>
      </c>
      <c r="O30" s="537">
        <v>0</v>
      </c>
      <c r="P30" s="537">
        <v>0</v>
      </c>
      <c r="Q30" s="537">
        <f t="shared" si="6"/>
        <v>8430128</v>
      </c>
    </row>
    <row r="31" spans="1:17" s="396" customFormat="1">
      <c r="A31" s="393">
        <v>21</v>
      </c>
      <c r="B31" s="536" t="s">
        <v>1012</v>
      </c>
      <c r="C31" s="537">
        <v>13658</v>
      </c>
      <c r="D31" s="537">
        <v>6363</v>
      </c>
      <c r="E31" s="537">
        <v>0</v>
      </c>
      <c r="F31" s="537">
        <v>0</v>
      </c>
      <c r="G31" s="550">
        <f t="shared" si="0"/>
        <v>20021</v>
      </c>
      <c r="H31" s="537">
        <f t="shared" si="1"/>
        <v>11169</v>
      </c>
      <c r="I31" s="537">
        <f t="shared" si="2"/>
        <v>4849</v>
      </c>
      <c r="J31" s="537">
        <f t="shared" si="3"/>
        <v>0</v>
      </c>
      <c r="K31" s="537">
        <f t="shared" si="4"/>
        <v>0</v>
      </c>
      <c r="L31" s="537">
        <f t="shared" si="5"/>
        <v>16018</v>
      </c>
      <c r="M31" s="537">
        <v>1921117</v>
      </c>
      <c r="N31" s="537">
        <v>833963</v>
      </c>
      <c r="O31" s="537">
        <v>0</v>
      </c>
      <c r="P31" s="537">
        <v>0</v>
      </c>
      <c r="Q31" s="537">
        <f t="shared" si="6"/>
        <v>2755080</v>
      </c>
    </row>
    <row r="32" spans="1:17" s="396" customFormat="1">
      <c r="A32" s="393">
        <v>22</v>
      </c>
      <c r="B32" s="536" t="s">
        <v>1011</v>
      </c>
      <c r="C32" s="537">
        <v>21762</v>
      </c>
      <c r="D32" s="537">
        <v>5010</v>
      </c>
      <c r="E32" s="537">
        <v>0</v>
      </c>
      <c r="F32" s="537">
        <v>0</v>
      </c>
      <c r="G32" s="551">
        <f t="shared" si="0"/>
        <v>26772</v>
      </c>
      <c r="H32" s="537">
        <f t="shared" si="1"/>
        <v>20291</v>
      </c>
      <c r="I32" s="537">
        <f t="shared" si="2"/>
        <v>4670</v>
      </c>
      <c r="J32" s="537">
        <f t="shared" si="3"/>
        <v>0</v>
      </c>
      <c r="K32" s="537">
        <f t="shared" si="4"/>
        <v>0</v>
      </c>
      <c r="L32" s="537">
        <f t="shared" si="5"/>
        <v>24961</v>
      </c>
      <c r="M32" s="537">
        <v>3490000</v>
      </c>
      <c r="N32" s="537">
        <v>803249</v>
      </c>
      <c r="O32" s="537">
        <v>0</v>
      </c>
      <c r="P32" s="537">
        <v>0</v>
      </c>
      <c r="Q32" s="537">
        <f t="shared" si="6"/>
        <v>4293249</v>
      </c>
    </row>
    <row r="33" spans="1:17" s="396" customFormat="1">
      <c r="A33" s="393">
        <v>23</v>
      </c>
      <c r="B33" s="536" t="s">
        <v>1005</v>
      </c>
      <c r="C33" s="537">
        <v>45571</v>
      </c>
      <c r="D33" s="537">
        <v>13980</v>
      </c>
      <c r="E33" s="537">
        <v>0</v>
      </c>
      <c r="F33" s="537">
        <v>0</v>
      </c>
      <c r="G33" s="550">
        <f t="shared" si="0"/>
        <v>59551</v>
      </c>
      <c r="H33" s="537">
        <f t="shared" si="1"/>
        <v>42666</v>
      </c>
      <c r="I33" s="537">
        <f t="shared" si="2"/>
        <v>12129</v>
      </c>
      <c r="J33" s="537">
        <f t="shared" si="3"/>
        <v>0</v>
      </c>
      <c r="K33" s="537">
        <f t="shared" si="4"/>
        <v>0</v>
      </c>
      <c r="L33" s="537">
        <f t="shared" si="5"/>
        <v>54795</v>
      </c>
      <c r="M33" s="537">
        <v>7338636</v>
      </c>
      <c r="N33" s="537">
        <v>2086140</v>
      </c>
      <c r="O33" s="537">
        <v>0</v>
      </c>
      <c r="P33" s="537">
        <v>0</v>
      </c>
      <c r="Q33" s="537">
        <f t="shared" si="6"/>
        <v>9424776</v>
      </c>
    </row>
    <row r="34" spans="1:17" s="396" customFormat="1">
      <c r="A34" s="393">
        <v>24</v>
      </c>
      <c r="B34" s="536" t="s">
        <v>972</v>
      </c>
      <c r="C34" s="537">
        <v>30476</v>
      </c>
      <c r="D34" s="537">
        <v>10009</v>
      </c>
      <c r="E34" s="537">
        <v>0</v>
      </c>
      <c r="F34" s="537">
        <v>0</v>
      </c>
      <c r="G34" s="550">
        <f t="shared" si="0"/>
        <v>40485</v>
      </c>
      <c r="H34" s="537">
        <f t="shared" si="1"/>
        <v>26660</v>
      </c>
      <c r="I34" s="537">
        <f t="shared" si="2"/>
        <v>8582</v>
      </c>
      <c r="J34" s="537">
        <f t="shared" si="3"/>
        <v>0</v>
      </c>
      <c r="K34" s="537">
        <f t="shared" si="4"/>
        <v>0</v>
      </c>
      <c r="L34" s="537">
        <f t="shared" si="5"/>
        <v>35242</v>
      </c>
      <c r="M34" s="537">
        <v>4585554</v>
      </c>
      <c r="N34" s="537">
        <v>1476102</v>
      </c>
      <c r="O34" s="537">
        <v>0</v>
      </c>
      <c r="P34" s="537">
        <v>0</v>
      </c>
      <c r="Q34" s="537">
        <f t="shared" si="6"/>
        <v>6061656</v>
      </c>
    </row>
    <row r="35" spans="1:17" s="396" customFormat="1">
      <c r="A35" s="393">
        <v>25</v>
      </c>
      <c r="B35" s="536" t="s">
        <v>999</v>
      </c>
      <c r="C35" s="537">
        <v>59917</v>
      </c>
      <c r="D35" s="537">
        <v>22473</v>
      </c>
      <c r="E35" s="537">
        <v>0</v>
      </c>
      <c r="F35" s="537">
        <v>0</v>
      </c>
      <c r="G35" s="550">
        <f t="shared" si="0"/>
        <v>82390</v>
      </c>
      <c r="H35" s="537">
        <f t="shared" si="1"/>
        <v>50990</v>
      </c>
      <c r="I35" s="537">
        <f t="shared" si="2"/>
        <v>19549</v>
      </c>
      <c r="J35" s="537">
        <f t="shared" si="3"/>
        <v>0</v>
      </c>
      <c r="K35" s="537">
        <f t="shared" si="4"/>
        <v>0</v>
      </c>
      <c r="L35" s="537">
        <f t="shared" si="5"/>
        <v>70539</v>
      </c>
      <c r="M35" s="537">
        <v>8770337</v>
      </c>
      <c r="N35" s="537">
        <v>3362462</v>
      </c>
      <c r="O35" s="537">
        <v>0</v>
      </c>
      <c r="P35" s="537">
        <v>0</v>
      </c>
      <c r="Q35" s="537">
        <f t="shared" si="6"/>
        <v>12132799</v>
      </c>
    </row>
    <row r="36" spans="1:17">
      <c r="A36" s="393">
        <v>26</v>
      </c>
      <c r="B36" s="536" t="s">
        <v>973</v>
      </c>
      <c r="C36" s="537">
        <v>81710</v>
      </c>
      <c r="D36" s="537">
        <v>29903</v>
      </c>
      <c r="E36" s="537">
        <v>0</v>
      </c>
      <c r="F36" s="537">
        <v>0</v>
      </c>
      <c r="G36" s="551">
        <f t="shared" si="0"/>
        <v>111613</v>
      </c>
      <c r="H36" s="537">
        <f t="shared" si="1"/>
        <v>79428</v>
      </c>
      <c r="I36" s="537">
        <f t="shared" si="2"/>
        <v>24548</v>
      </c>
      <c r="J36" s="537">
        <f t="shared" si="3"/>
        <v>0</v>
      </c>
      <c r="K36" s="537">
        <f t="shared" si="4"/>
        <v>0</v>
      </c>
      <c r="L36" s="537">
        <f t="shared" si="5"/>
        <v>103976</v>
      </c>
      <c r="M36" s="537">
        <v>13661585</v>
      </c>
      <c r="N36" s="537">
        <v>4222247</v>
      </c>
      <c r="O36" s="537">
        <v>0</v>
      </c>
      <c r="P36" s="537">
        <v>0</v>
      </c>
      <c r="Q36" s="537">
        <f t="shared" si="6"/>
        <v>17883832</v>
      </c>
    </row>
    <row r="37" spans="1:17">
      <c r="A37" s="393">
        <v>27</v>
      </c>
      <c r="B37" s="536" t="s">
        <v>974</v>
      </c>
      <c r="C37" s="537">
        <v>67186</v>
      </c>
      <c r="D37" s="537">
        <v>18577</v>
      </c>
      <c r="E37" s="537">
        <v>0</v>
      </c>
      <c r="F37" s="537">
        <v>0</v>
      </c>
      <c r="G37" s="550">
        <f t="shared" si="0"/>
        <v>85763</v>
      </c>
      <c r="H37" s="537">
        <f t="shared" si="1"/>
        <v>62542</v>
      </c>
      <c r="I37" s="537">
        <f t="shared" si="2"/>
        <v>16803</v>
      </c>
      <c r="J37" s="537">
        <f t="shared" si="3"/>
        <v>0</v>
      </c>
      <c r="K37" s="537">
        <f t="shared" si="4"/>
        <v>0</v>
      </c>
      <c r="L37" s="537">
        <f t="shared" si="5"/>
        <v>79345</v>
      </c>
      <c r="M37" s="537">
        <v>10757275</v>
      </c>
      <c r="N37" s="537">
        <v>2890108</v>
      </c>
      <c r="O37" s="537">
        <v>0</v>
      </c>
      <c r="P37" s="537">
        <v>0</v>
      </c>
      <c r="Q37" s="537">
        <f t="shared" si="6"/>
        <v>13647383</v>
      </c>
    </row>
    <row r="38" spans="1:17" s="268" customFormat="1">
      <c r="A38" s="272">
        <v>28</v>
      </c>
      <c r="B38" s="536" t="s">
        <v>975</v>
      </c>
      <c r="C38" s="537">
        <v>78153</v>
      </c>
      <c r="D38" s="537">
        <v>24272</v>
      </c>
      <c r="E38" s="537">
        <v>0</v>
      </c>
      <c r="F38" s="537">
        <v>0</v>
      </c>
      <c r="G38" s="551">
        <f t="shared" si="0"/>
        <v>102425</v>
      </c>
      <c r="H38" s="547">
        <f t="shared" si="1"/>
        <v>76955</v>
      </c>
      <c r="I38" s="547">
        <v>23403</v>
      </c>
      <c r="J38" s="547">
        <f t="shared" si="3"/>
        <v>0</v>
      </c>
      <c r="K38" s="547">
        <f t="shared" si="4"/>
        <v>0</v>
      </c>
      <c r="L38" s="547">
        <f t="shared" si="5"/>
        <v>100358</v>
      </c>
      <c r="M38" s="547">
        <v>13236273</v>
      </c>
      <c r="N38" s="547">
        <v>4024624</v>
      </c>
      <c r="O38" s="547">
        <v>0</v>
      </c>
      <c r="P38" s="547">
        <v>0</v>
      </c>
      <c r="Q38" s="547">
        <f t="shared" si="6"/>
        <v>17260897</v>
      </c>
    </row>
    <row r="39" spans="1:17">
      <c r="A39" s="393">
        <v>29</v>
      </c>
      <c r="B39" s="536" t="s">
        <v>1000</v>
      </c>
      <c r="C39" s="537">
        <v>38543</v>
      </c>
      <c r="D39" s="537">
        <v>19737</v>
      </c>
      <c r="E39" s="537">
        <v>0</v>
      </c>
      <c r="F39" s="537">
        <v>0</v>
      </c>
      <c r="G39" s="551">
        <f t="shared" si="0"/>
        <v>58280</v>
      </c>
      <c r="H39" s="537">
        <f t="shared" si="1"/>
        <v>34240</v>
      </c>
      <c r="I39" s="537">
        <f t="shared" si="2"/>
        <v>16005</v>
      </c>
      <c r="J39" s="537">
        <f t="shared" si="3"/>
        <v>0</v>
      </c>
      <c r="K39" s="537">
        <f t="shared" si="4"/>
        <v>0</v>
      </c>
      <c r="L39" s="537">
        <f t="shared" si="5"/>
        <v>50245</v>
      </c>
      <c r="M39" s="537">
        <v>5889343</v>
      </c>
      <c r="N39" s="537">
        <v>2752931</v>
      </c>
      <c r="O39" s="537">
        <v>0</v>
      </c>
      <c r="P39" s="537">
        <v>0</v>
      </c>
      <c r="Q39" s="537">
        <f t="shared" si="6"/>
        <v>8642274</v>
      </c>
    </row>
    <row r="40" spans="1:17" s="268" customFormat="1">
      <c r="A40" s="272">
        <v>30</v>
      </c>
      <c r="B40" s="536" t="s">
        <v>976</v>
      </c>
      <c r="C40" s="537">
        <v>90260</v>
      </c>
      <c r="D40" s="537">
        <v>14791</v>
      </c>
      <c r="E40" s="537">
        <v>370</v>
      </c>
      <c r="F40" s="537">
        <v>0</v>
      </c>
      <c r="G40" s="550">
        <f t="shared" si="0"/>
        <v>105421</v>
      </c>
      <c r="H40" s="547">
        <f t="shared" si="1"/>
        <v>83489</v>
      </c>
      <c r="I40" s="547">
        <f t="shared" si="2"/>
        <v>13907</v>
      </c>
      <c r="J40" s="547">
        <f t="shared" si="3"/>
        <v>269</v>
      </c>
      <c r="K40" s="547">
        <f t="shared" si="4"/>
        <v>0</v>
      </c>
      <c r="L40" s="547">
        <f t="shared" si="5"/>
        <v>97665</v>
      </c>
      <c r="M40" s="547">
        <v>14360121</v>
      </c>
      <c r="N40" s="547">
        <v>2392062</v>
      </c>
      <c r="O40" s="547">
        <v>62833</v>
      </c>
      <c r="P40" s="547">
        <v>0</v>
      </c>
      <c r="Q40" s="547">
        <f t="shared" si="6"/>
        <v>16815016</v>
      </c>
    </row>
    <row r="41" spans="1:17" s="268" customFormat="1">
      <c r="A41" s="272">
        <v>31</v>
      </c>
      <c r="B41" s="536" t="s">
        <v>977</v>
      </c>
      <c r="C41" s="537">
        <v>76372</v>
      </c>
      <c r="D41" s="537">
        <v>20845</v>
      </c>
      <c r="E41" s="537">
        <v>0</v>
      </c>
      <c r="F41" s="537">
        <v>0</v>
      </c>
      <c r="G41" s="550">
        <f t="shared" si="0"/>
        <v>97217</v>
      </c>
      <c r="H41" s="547">
        <f t="shared" si="1"/>
        <v>73831</v>
      </c>
      <c r="I41" s="547">
        <f t="shared" si="2"/>
        <v>19745</v>
      </c>
      <c r="J41" s="547">
        <f t="shared" si="3"/>
        <v>0</v>
      </c>
      <c r="K41" s="547">
        <f t="shared" si="4"/>
        <v>0</v>
      </c>
      <c r="L41" s="547">
        <f t="shared" si="5"/>
        <v>93576</v>
      </c>
      <c r="M41" s="547">
        <v>12698996</v>
      </c>
      <c r="N41" s="547">
        <v>3396137</v>
      </c>
      <c r="O41" s="547">
        <v>0</v>
      </c>
      <c r="P41" s="547">
        <v>0</v>
      </c>
      <c r="Q41" s="547">
        <f t="shared" si="6"/>
        <v>16095133</v>
      </c>
    </row>
    <row r="42" spans="1:17">
      <c r="A42" s="393">
        <v>32</v>
      </c>
      <c r="B42" s="536" t="s">
        <v>978</v>
      </c>
      <c r="C42" s="537">
        <v>56890</v>
      </c>
      <c r="D42" s="537">
        <v>6468</v>
      </c>
      <c r="E42" s="537">
        <v>0</v>
      </c>
      <c r="F42" s="537">
        <v>0</v>
      </c>
      <c r="G42" s="550">
        <f t="shared" si="0"/>
        <v>63358</v>
      </c>
      <c r="H42" s="537">
        <f t="shared" si="1"/>
        <v>50402</v>
      </c>
      <c r="I42" s="537">
        <f t="shared" si="2"/>
        <v>4675</v>
      </c>
      <c r="J42" s="537">
        <f t="shared" si="3"/>
        <v>0</v>
      </c>
      <c r="K42" s="537">
        <f t="shared" si="4"/>
        <v>0</v>
      </c>
      <c r="L42" s="537">
        <f t="shared" si="5"/>
        <v>55077</v>
      </c>
      <c r="M42" s="537">
        <v>8669070</v>
      </c>
      <c r="N42" s="537">
        <v>804028</v>
      </c>
      <c r="O42" s="537">
        <v>0</v>
      </c>
      <c r="P42" s="537">
        <v>0</v>
      </c>
      <c r="Q42" s="537">
        <f t="shared" si="6"/>
        <v>9473098</v>
      </c>
    </row>
    <row r="43" spans="1:17" s="268" customFormat="1">
      <c r="A43" s="272">
        <v>33</v>
      </c>
      <c r="B43" s="536" t="s">
        <v>979</v>
      </c>
      <c r="C43" s="537">
        <v>73176</v>
      </c>
      <c r="D43" s="537">
        <v>7397</v>
      </c>
      <c r="E43" s="537">
        <v>330</v>
      </c>
      <c r="F43" s="537">
        <v>180</v>
      </c>
      <c r="G43" s="550">
        <f t="shared" si="0"/>
        <v>81083</v>
      </c>
      <c r="H43" s="547">
        <f t="shared" si="1"/>
        <v>72332</v>
      </c>
      <c r="I43" s="547">
        <f t="shared" si="2"/>
        <v>7112</v>
      </c>
      <c r="J43" s="547">
        <f t="shared" si="3"/>
        <v>318</v>
      </c>
      <c r="K43" s="547">
        <f t="shared" si="4"/>
        <v>160</v>
      </c>
      <c r="L43" s="547">
        <f t="shared" si="5"/>
        <v>79922</v>
      </c>
      <c r="M43" s="547">
        <v>12441041</v>
      </c>
      <c r="N43" s="547">
        <v>1223306</v>
      </c>
      <c r="O43" s="547">
        <v>74501</v>
      </c>
      <c r="P43" s="547">
        <v>27541</v>
      </c>
      <c r="Q43" s="547">
        <f t="shared" si="6"/>
        <v>13766389</v>
      </c>
    </row>
    <row r="44" spans="1:17">
      <c r="A44" s="393">
        <v>34</v>
      </c>
      <c r="B44" s="536" t="s">
        <v>980</v>
      </c>
      <c r="C44" s="537">
        <v>50615</v>
      </c>
      <c r="D44" s="537">
        <v>4331</v>
      </c>
      <c r="E44" s="537">
        <v>0</v>
      </c>
      <c r="F44" s="537">
        <v>0</v>
      </c>
      <c r="G44" s="550">
        <f t="shared" si="0"/>
        <v>54946</v>
      </c>
      <c r="H44" s="537">
        <f t="shared" si="1"/>
        <v>44030</v>
      </c>
      <c r="I44" s="537">
        <f t="shared" si="2"/>
        <v>3325</v>
      </c>
      <c r="J44" s="537">
        <f t="shared" si="3"/>
        <v>0</v>
      </c>
      <c r="K44" s="537">
        <f t="shared" si="4"/>
        <v>0</v>
      </c>
      <c r="L44" s="537">
        <f t="shared" si="5"/>
        <v>47355</v>
      </c>
      <c r="M44" s="537">
        <v>7573242</v>
      </c>
      <c r="N44" s="537">
        <v>571981</v>
      </c>
      <c r="O44" s="537">
        <v>0</v>
      </c>
      <c r="P44" s="537">
        <v>0</v>
      </c>
      <c r="Q44" s="537">
        <f t="shared" si="6"/>
        <v>8145223</v>
      </c>
    </row>
    <row r="45" spans="1:17">
      <c r="A45" s="3" t="s">
        <v>17</v>
      </c>
      <c r="B45" s="18"/>
      <c r="C45" s="538">
        <f>SUM(C11:C44)</f>
        <v>1347068</v>
      </c>
      <c r="D45" s="538">
        <f t="shared" ref="D45:F45" si="7">SUM(D11:D44)</f>
        <v>419659</v>
      </c>
      <c r="E45" s="538">
        <f t="shared" si="7"/>
        <v>812</v>
      </c>
      <c r="F45" s="538">
        <f t="shared" si="7"/>
        <v>1003</v>
      </c>
      <c r="G45" s="552">
        <f t="shared" ref="G45" si="8">SUM(C45:F45)</f>
        <v>1768542</v>
      </c>
      <c r="H45" s="552">
        <f>SUM(H11:H44)</f>
        <v>1238641</v>
      </c>
      <c r="I45" s="552">
        <f t="shared" ref="I45:L45" si="9">SUM(I11:I44)</f>
        <v>356638</v>
      </c>
      <c r="J45" s="552">
        <f t="shared" si="9"/>
        <v>672</v>
      </c>
      <c r="K45" s="552">
        <f t="shared" si="9"/>
        <v>800</v>
      </c>
      <c r="L45" s="552">
        <f t="shared" si="9"/>
        <v>1596751</v>
      </c>
      <c r="M45" s="552">
        <f>SUM(M11:M44)</f>
        <v>213047028</v>
      </c>
      <c r="N45" s="552">
        <f t="shared" ref="N45:Q45" si="10">SUM(N11:N44)</f>
        <v>61340946</v>
      </c>
      <c r="O45" s="552">
        <f t="shared" si="10"/>
        <v>157228</v>
      </c>
      <c r="P45" s="552">
        <f t="shared" si="10"/>
        <v>137740</v>
      </c>
      <c r="Q45" s="538">
        <f t="shared" si="10"/>
        <v>274682942</v>
      </c>
    </row>
    <row r="46" spans="1:17">
      <c r="A46" s="71"/>
      <c r="B46" s="20"/>
      <c r="C46" s="20"/>
      <c r="D46" s="20"/>
      <c r="E46" s="20"/>
      <c r="F46" s="20"/>
      <c r="G46" s="20"/>
      <c r="H46" s="20"/>
      <c r="I46" s="20"/>
      <c r="J46" s="20"/>
      <c r="K46" s="20"/>
      <c r="L46" s="20"/>
      <c r="M46" s="20"/>
      <c r="N46" s="20"/>
      <c r="O46" s="20"/>
      <c r="P46" s="20"/>
      <c r="Q46" s="20"/>
    </row>
    <row r="47" spans="1:17">
      <c r="A47" s="10" t="s">
        <v>7</v>
      </c>
      <c r="B47"/>
      <c r="C47"/>
      <c r="D47"/>
      <c r="G47" s="734"/>
    </row>
    <row r="48" spans="1:17">
      <c r="A48" t="s">
        <v>8</v>
      </c>
      <c r="B48"/>
      <c r="C48"/>
      <c r="D48"/>
    </row>
    <row r="49" spans="1:17">
      <c r="A49" t="s">
        <v>9</v>
      </c>
      <c r="B49"/>
      <c r="C49"/>
      <c r="D49"/>
      <c r="I49" s="11"/>
      <c r="J49" s="11"/>
      <c r="K49" s="11"/>
      <c r="L49" s="11"/>
    </row>
    <row r="50" spans="1:17" customFormat="1">
      <c r="A50" s="15" t="s">
        <v>430</v>
      </c>
      <c r="J50" s="11"/>
      <c r="K50" s="11"/>
      <c r="L50" s="11"/>
    </row>
    <row r="51" spans="1:17" customFormat="1">
      <c r="C51" s="15" t="s">
        <v>432</v>
      </c>
      <c r="E51" s="12"/>
      <c r="F51" s="12"/>
      <c r="G51" s="12"/>
      <c r="H51" s="12"/>
      <c r="I51" s="12"/>
      <c r="J51" s="12"/>
      <c r="K51" s="12"/>
      <c r="L51" s="12"/>
      <c r="M51" s="12"/>
    </row>
    <row r="53" spans="1:17" ht="15.75">
      <c r="A53" s="396"/>
      <c r="B53" s="13"/>
      <c r="C53" s="13"/>
      <c r="D53" s="13"/>
      <c r="E53" s="13"/>
      <c r="F53" s="13"/>
      <c r="G53" s="13"/>
      <c r="H53" s="396"/>
      <c r="I53" s="396"/>
      <c r="J53" s="396"/>
      <c r="K53" s="396"/>
      <c r="L53" s="396"/>
      <c r="M53" s="804" t="s">
        <v>12</v>
      </c>
      <c r="N53" s="804"/>
      <c r="O53" s="804"/>
      <c r="P53" s="804"/>
      <c r="Q53" s="804"/>
    </row>
    <row r="54" spans="1:17" ht="15.75">
      <c r="A54" s="803" t="s">
        <v>906</v>
      </c>
      <c r="B54" s="803"/>
      <c r="C54" s="803"/>
      <c r="D54" s="803"/>
      <c r="E54" s="375"/>
      <c r="F54" s="375"/>
      <c r="G54" s="375"/>
      <c r="H54" s="396"/>
      <c r="I54" s="396"/>
      <c r="J54" s="396"/>
      <c r="K54" s="396"/>
      <c r="L54" s="396"/>
      <c r="M54" s="804" t="s">
        <v>13</v>
      </c>
      <c r="N54" s="804"/>
      <c r="O54" s="804"/>
      <c r="P54" s="804"/>
      <c r="Q54" s="804"/>
    </row>
    <row r="55" spans="1:17" ht="15.75">
      <c r="A55" s="804" t="s">
        <v>907</v>
      </c>
      <c r="B55" s="804"/>
      <c r="C55" s="804"/>
      <c r="D55" s="804"/>
      <c r="E55" s="375"/>
      <c r="F55" s="375"/>
      <c r="G55" s="375"/>
      <c r="H55" s="396"/>
      <c r="I55" s="396"/>
      <c r="J55" s="396"/>
      <c r="K55" s="396"/>
      <c r="L55" s="396"/>
      <c r="M55" s="804" t="s">
        <v>18</v>
      </c>
      <c r="N55" s="804"/>
      <c r="O55" s="804"/>
      <c r="P55" s="804"/>
      <c r="Q55" s="804"/>
    </row>
    <row r="56" spans="1:17">
      <c r="A56" s="804" t="s">
        <v>908</v>
      </c>
      <c r="B56" s="804"/>
      <c r="C56" s="804"/>
      <c r="D56" s="804"/>
      <c r="E56"/>
      <c r="F56"/>
      <c r="G56"/>
      <c r="H56" s="396"/>
      <c r="I56" s="396"/>
      <c r="J56" s="396"/>
      <c r="K56" s="396"/>
      <c r="L56" s="396"/>
      <c r="M56" s="14"/>
      <c r="N56" s="14"/>
      <c r="O56" s="392" t="s">
        <v>84</v>
      </c>
      <c r="P56" s="392"/>
      <c r="Q56" s="392"/>
    </row>
    <row r="57" spans="1:17">
      <c r="A57" s="926"/>
      <c r="B57" s="926"/>
      <c r="C57" s="926"/>
      <c r="D57" s="926"/>
      <c r="E57" s="926"/>
      <c r="F57" s="926"/>
      <c r="G57" s="926"/>
      <c r="H57" s="926"/>
      <c r="I57" s="926"/>
      <c r="J57" s="926"/>
      <c r="K57" s="926"/>
      <c r="L57" s="926"/>
      <c r="M57" s="396"/>
      <c r="N57" s="396"/>
      <c r="O57" s="396"/>
      <c r="P57" s="396"/>
      <c r="Q57" s="396"/>
    </row>
    <row r="58" spans="1:17" ht="15.75">
      <c r="A58" s="13" t="s">
        <v>11</v>
      </c>
      <c r="B58" s="396"/>
      <c r="C58" s="396"/>
      <c r="D58" s="396"/>
      <c r="E58" s="396"/>
      <c r="F58" s="396"/>
      <c r="G58" s="396"/>
      <c r="H58" s="396"/>
      <c r="I58" s="396"/>
      <c r="J58" s="396"/>
      <c r="K58" s="396"/>
      <c r="L58" s="396"/>
      <c r="M58" s="396"/>
      <c r="N58" s="396"/>
      <c r="O58" s="396"/>
      <c r="P58" s="396"/>
      <c r="Q58" s="396"/>
    </row>
    <row r="59" spans="1:17">
      <c r="A59" s="396"/>
      <c r="B59" s="396"/>
      <c r="C59" s="396"/>
      <c r="D59" s="396"/>
      <c r="E59" s="396"/>
      <c r="F59" s="396"/>
      <c r="G59" s="396"/>
      <c r="H59" s="396"/>
      <c r="I59" s="396"/>
      <c r="J59" s="396"/>
      <c r="K59" s="396"/>
      <c r="L59" s="396"/>
      <c r="M59" s="396"/>
      <c r="N59" s="396"/>
      <c r="O59" s="396"/>
      <c r="P59" s="396"/>
      <c r="Q59" s="396"/>
    </row>
  </sheetData>
  <mergeCells count="18">
    <mergeCell ref="M53:Q53"/>
    <mergeCell ref="O1:Q1"/>
    <mergeCell ref="A2:L2"/>
    <mergeCell ref="A3:L3"/>
    <mergeCell ref="A5:L5"/>
    <mergeCell ref="M8:Q8"/>
    <mergeCell ref="A8:A9"/>
    <mergeCell ref="B8:B9"/>
    <mergeCell ref="A7:B7"/>
    <mergeCell ref="N7:R7"/>
    <mergeCell ref="C8:G8"/>
    <mergeCell ref="H8:L8"/>
    <mergeCell ref="A54:D54"/>
    <mergeCell ref="M54:Q54"/>
    <mergeCell ref="A55:D55"/>
    <mergeCell ref="M55:Q55"/>
    <mergeCell ref="A57:L57"/>
    <mergeCell ref="A56:D56"/>
  </mergeCells>
  <phoneticPr fontId="0" type="noConversion"/>
  <printOptions horizontalCentered="1"/>
  <pageMargins left="0.70866141732283472" right="0.70866141732283472" top="0.23622047244094491" bottom="0" header="0.31496062992125984" footer="0.31496062992125984"/>
  <pageSetup paperSize="9" scale="72" orientation="landscape" r:id="rId1"/>
  <ignoredErrors>
    <ignoredError sqref="J11 G45" formula="1"/>
  </ignoredErrors>
</worksheet>
</file>

<file path=xl/worksheets/sheet14.xml><?xml version="1.0" encoding="utf-8"?>
<worksheet xmlns="http://schemas.openxmlformats.org/spreadsheetml/2006/main" xmlns:r="http://schemas.openxmlformats.org/officeDocument/2006/relationships">
  <sheetPr codeName="Sheet14">
    <pageSetUpPr fitToPage="1"/>
  </sheetPr>
  <dimension ref="A1:M54"/>
  <sheetViews>
    <sheetView view="pageBreakPreview" topLeftCell="A22" zoomScaleSheetLayoutView="100" workbookViewId="0">
      <selection activeCell="C31" sqref="C31:G31"/>
    </sheetView>
  </sheetViews>
  <sheetFormatPr defaultRowHeight="12.75"/>
  <cols>
    <col min="1" max="1" width="6" customWidth="1"/>
    <col min="2" max="2" width="20.7109375" customWidth="1"/>
    <col min="3" max="3" width="17.28515625" customWidth="1"/>
    <col min="4" max="4" width="19" customWidth="1"/>
    <col min="5" max="5" width="19.7109375" customWidth="1"/>
    <col min="6" max="6" width="18.85546875" customWidth="1"/>
    <col min="7" max="7" width="15.28515625" customWidth="1"/>
  </cols>
  <sheetData>
    <row r="1" spans="1:8" ht="15">
      <c r="G1" s="195" t="s">
        <v>637</v>
      </c>
    </row>
    <row r="2" spans="1:8" s="698" customFormat="1" ht="18">
      <c r="A2" s="911" t="s">
        <v>0</v>
      </c>
      <c r="B2" s="911"/>
      <c r="C2" s="911"/>
      <c r="D2" s="911"/>
      <c r="E2" s="911"/>
      <c r="F2" s="911"/>
      <c r="G2" s="911"/>
    </row>
    <row r="3" spans="1:8" ht="21">
      <c r="A3" s="912" t="s">
        <v>745</v>
      </c>
      <c r="B3" s="912"/>
      <c r="C3" s="912"/>
      <c r="D3" s="912"/>
      <c r="E3" s="912"/>
      <c r="F3" s="912"/>
      <c r="G3" s="912"/>
    </row>
    <row r="4" spans="1:8" ht="15">
      <c r="A4" s="197"/>
      <c r="B4" s="197"/>
    </row>
    <row r="5" spans="1:8" ht="18" customHeight="1">
      <c r="A5" s="913" t="s">
        <v>638</v>
      </c>
      <c r="B5" s="913"/>
      <c r="C5" s="913"/>
      <c r="D5" s="913"/>
      <c r="E5" s="913"/>
      <c r="F5" s="913"/>
      <c r="G5" s="913"/>
    </row>
    <row r="6" spans="1:8" ht="15">
      <c r="A6" s="198" t="s">
        <v>990</v>
      </c>
      <c r="B6" s="198"/>
    </row>
    <row r="7" spans="1:8" ht="15">
      <c r="A7" s="198"/>
      <c r="B7" s="198"/>
      <c r="F7" s="914" t="s">
        <v>831</v>
      </c>
      <c r="G7" s="914"/>
    </row>
    <row r="8" spans="1:8" ht="57.75" customHeight="1">
      <c r="A8" s="740" t="s">
        <v>2</v>
      </c>
      <c r="B8" s="740" t="s">
        <v>3</v>
      </c>
      <c r="C8" s="741" t="s">
        <v>639</v>
      </c>
      <c r="D8" s="741" t="s">
        <v>640</v>
      </c>
      <c r="E8" s="741" t="s">
        <v>641</v>
      </c>
      <c r="F8" s="741" t="s">
        <v>642</v>
      </c>
      <c r="G8" s="742" t="s">
        <v>643</v>
      </c>
    </row>
    <row r="9" spans="1:8" s="195" customFormat="1" ht="15">
      <c r="A9" s="201" t="s">
        <v>260</v>
      </c>
      <c r="B9" s="201" t="s">
        <v>261</v>
      </c>
      <c r="C9" s="201" t="s">
        <v>262</v>
      </c>
      <c r="D9" s="201" t="s">
        <v>263</v>
      </c>
      <c r="E9" s="201" t="s">
        <v>264</v>
      </c>
      <c r="F9" s="201" t="s">
        <v>265</v>
      </c>
      <c r="G9" s="201" t="s">
        <v>266</v>
      </c>
    </row>
    <row r="10" spans="1:8" s="195" customFormat="1" ht="15">
      <c r="A10" s="8">
        <v>1</v>
      </c>
      <c r="B10" s="536" t="s">
        <v>961</v>
      </c>
      <c r="C10" s="544">
        <v>102249</v>
      </c>
      <c r="D10" s="544">
        <v>75637</v>
      </c>
      <c r="E10" s="544">
        <f>C10-D10-F10</f>
        <v>1254</v>
      </c>
      <c r="F10" s="544">
        <v>25358</v>
      </c>
      <c r="G10" s="546">
        <v>0</v>
      </c>
      <c r="H10"/>
    </row>
    <row r="11" spans="1:8" s="195" customFormat="1" ht="15">
      <c r="A11" s="8">
        <v>2</v>
      </c>
      <c r="B11" s="536" t="s">
        <v>962</v>
      </c>
      <c r="C11" s="544">
        <v>151353</v>
      </c>
      <c r="D11" s="544">
        <v>104642</v>
      </c>
      <c r="E11" s="544">
        <f t="shared" ref="E11:E43" si="0">C11-D11-F11</f>
        <v>2894</v>
      </c>
      <c r="F11" s="544">
        <v>43817</v>
      </c>
      <c r="G11" s="546">
        <v>0</v>
      </c>
      <c r="H11" s="698"/>
    </row>
    <row r="12" spans="1:8" s="195" customFormat="1" ht="15">
      <c r="A12" s="8">
        <v>3</v>
      </c>
      <c r="B12" s="536" t="s">
        <v>963</v>
      </c>
      <c r="C12" s="544">
        <v>132748</v>
      </c>
      <c r="D12" s="544">
        <v>125578</v>
      </c>
      <c r="E12" s="544">
        <f t="shared" si="0"/>
        <v>794</v>
      </c>
      <c r="F12" s="544">
        <v>6376</v>
      </c>
      <c r="G12" s="546">
        <v>0</v>
      </c>
      <c r="H12" s="698"/>
    </row>
    <row r="13" spans="1:8" s="195" customFormat="1" ht="15">
      <c r="A13" s="8">
        <v>4</v>
      </c>
      <c r="B13" s="536" t="s">
        <v>964</v>
      </c>
      <c r="C13" s="544">
        <v>117510</v>
      </c>
      <c r="D13" s="544">
        <v>105858</v>
      </c>
      <c r="E13" s="544">
        <f t="shared" si="0"/>
        <v>765</v>
      </c>
      <c r="F13" s="544">
        <v>10887</v>
      </c>
      <c r="G13" s="546">
        <v>0</v>
      </c>
      <c r="H13" s="698"/>
    </row>
    <row r="14" spans="1:8" s="195" customFormat="1" ht="15">
      <c r="A14" s="8">
        <v>5</v>
      </c>
      <c r="B14" s="536" t="s">
        <v>1009</v>
      </c>
      <c r="C14" s="544">
        <v>124530</v>
      </c>
      <c r="D14" s="544">
        <v>114986</v>
      </c>
      <c r="E14" s="544">
        <f t="shared" si="0"/>
        <v>877</v>
      </c>
      <c r="F14" s="544">
        <v>8667</v>
      </c>
      <c r="G14" s="546">
        <v>0</v>
      </c>
      <c r="H14" s="698"/>
    </row>
    <row r="15" spans="1:8" s="195" customFormat="1" ht="15">
      <c r="A15" s="8">
        <v>6</v>
      </c>
      <c r="B15" s="536" t="s">
        <v>965</v>
      </c>
      <c r="C15" s="544">
        <v>52389</v>
      </c>
      <c r="D15" s="544">
        <v>44705</v>
      </c>
      <c r="E15" s="544">
        <f t="shared" si="0"/>
        <v>231</v>
      </c>
      <c r="F15" s="544">
        <v>7453</v>
      </c>
      <c r="G15" s="546">
        <v>0</v>
      </c>
      <c r="H15" s="698"/>
    </row>
    <row r="16" spans="1:8" s="195" customFormat="1" ht="15">
      <c r="A16" s="8">
        <v>7</v>
      </c>
      <c r="B16" s="536" t="s">
        <v>966</v>
      </c>
      <c r="C16" s="544">
        <v>58191</v>
      </c>
      <c r="D16" s="544">
        <v>54803</v>
      </c>
      <c r="E16" s="544">
        <f t="shared" si="0"/>
        <v>372</v>
      </c>
      <c r="F16" s="544">
        <v>3016</v>
      </c>
      <c r="G16" s="546">
        <v>0</v>
      </c>
      <c r="H16" s="698"/>
    </row>
    <row r="17" spans="1:8" s="195" customFormat="1" ht="15">
      <c r="A17" s="8">
        <v>8</v>
      </c>
      <c r="B17" s="536" t="s">
        <v>967</v>
      </c>
      <c r="C17" s="544">
        <v>84175</v>
      </c>
      <c r="D17" s="544">
        <v>73348</v>
      </c>
      <c r="E17" s="544">
        <f t="shared" si="0"/>
        <v>523</v>
      </c>
      <c r="F17" s="544">
        <v>10304</v>
      </c>
      <c r="G17" s="546">
        <v>0</v>
      </c>
      <c r="H17" s="698"/>
    </row>
    <row r="18" spans="1:8" s="195" customFormat="1" ht="15">
      <c r="A18" s="8">
        <v>9</v>
      </c>
      <c r="B18" s="536" t="s">
        <v>968</v>
      </c>
      <c r="C18" s="544">
        <v>69547</v>
      </c>
      <c r="D18" s="544">
        <v>58826</v>
      </c>
      <c r="E18" s="544">
        <f t="shared" si="0"/>
        <v>281</v>
      </c>
      <c r="F18" s="544">
        <v>10440</v>
      </c>
      <c r="G18" s="546">
        <v>0</v>
      </c>
      <c r="H18" s="698"/>
    </row>
    <row r="19" spans="1:8" s="195" customFormat="1" ht="15">
      <c r="A19" s="8">
        <v>10</v>
      </c>
      <c r="B19" s="536" t="s">
        <v>970</v>
      </c>
      <c r="C19" s="544">
        <v>102237</v>
      </c>
      <c r="D19" s="544">
        <v>94618</v>
      </c>
      <c r="E19" s="544">
        <f t="shared" si="0"/>
        <v>563</v>
      </c>
      <c r="F19" s="544">
        <v>7056</v>
      </c>
      <c r="G19" s="546">
        <v>0</v>
      </c>
      <c r="H19" s="698"/>
    </row>
    <row r="20" spans="1:8" s="195" customFormat="1" ht="15">
      <c r="A20" s="8">
        <v>11</v>
      </c>
      <c r="B20" s="536" t="s">
        <v>969</v>
      </c>
      <c r="C20" s="544">
        <v>69017</v>
      </c>
      <c r="D20" s="544">
        <v>65635</v>
      </c>
      <c r="E20" s="544">
        <f t="shared" si="0"/>
        <v>242</v>
      </c>
      <c r="F20" s="544">
        <v>3140</v>
      </c>
      <c r="G20" s="546">
        <v>0</v>
      </c>
      <c r="H20" s="698"/>
    </row>
    <row r="21" spans="1:8" s="195" customFormat="1" ht="15">
      <c r="A21" s="8">
        <v>12</v>
      </c>
      <c r="B21" s="536" t="s">
        <v>1008</v>
      </c>
      <c r="C21" s="544">
        <v>169676</v>
      </c>
      <c r="D21" s="544">
        <v>156877</v>
      </c>
      <c r="E21" s="544">
        <f t="shared" si="0"/>
        <v>1775</v>
      </c>
      <c r="F21" s="544">
        <v>11024</v>
      </c>
      <c r="G21" s="546">
        <v>0</v>
      </c>
      <c r="H21" s="698"/>
    </row>
    <row r="22" spans="1:8" s="195" customFormat="1" ht="15">
      <c r="A22" s="8">
        <v>13</v>
      </c>
      <c r="B22" s="536" t="s">
        <v>1007</v>
      </c>
      <c r="C22" s="544">
        <v>89018</v>
      </c>
      <c r="D22" s="544">
        <v>83827</v>
      </c>
      <c r="E22" s="544">
        <f t="shared" si="0"/>
        <v>1742</v>
      </c>
      <c r="F22" s="544">
        <v>3449</v>
      </c>
      <c r="G22" s="546">
        <v>0</v>
      </c>
      <c r="H22" s="698"/>
    </row>
    <row r="23" spans="1:8" s="195" customFormat="1" ht="15">
      <c r="A23" s="8">
        <v>14</v>
      </c>
      <c r="B23" s="536" t="s">
        <v>971</v>
      </c>
      <c r="C23" s="544">
        <v>64754</v>
      </c>
      <c r="D23" s="544">
        <v>61966</v>
      </c>
      <c r="E23" s="544">
        <f t="shared" si="0"/>
        <v>374</v>
      </c>
      <c r="F23" s="544">
        <v>2414</v>
      </c>
      <c r="G23" s="546">
        <v>0</v>
      </c>
      <c r="H23" s="698"/>
    </row>
    <row r="24" spans="1:8" s="195" customFormat="1" ht="15">
      <c r="A24" s="8">
        <v>15</v>
      </c>
      <c r="B24" s="536" t="s">
        <v>1006</v>
      </c>
      <c r="C24" s="544">
        <v>25286</v>
      </c>
      <c r="D24" s="544">
        <v>21855</v>
      </c>
      <c r="E24" s="544">
        <f t="shared" si="0"/>
        <v>104</v>
      </c>
      <c r="F24" s="544">
        <v>3327</v>
      </c>
      <c r="G24" s="546">
        <v>0</v>
      </c>
      <c r="H24" s="698"/>
    </row>
    <row r="25" spans="1:8" s="195" customFormat="1" ht="15">
      <c r="A25" s="8">
        <v>16</v>
      </c>
      <c r="B25" s="536" t="s">
        <v>1004</v>
      </c>
      <c r="C25" s="544">
        <v>91383</v>
      </c>
      <c r="D25" s="544">
        <v>84093</v>
      </c>
      <c r="E25" s="544">
        <f t="shared" si="0"/>
        <v>661</v>
      </c>
      <c r="F25" s="544">
        <v>6629</v>
      </c>
      <c r="G25" s="546">
        <v>0</v>
      </c>
      <c r="H25" s="698"/>
    </row>
    <row r="26" spans="1:8" s="195" customFormat="1" ht="15">
      <c r="A26" s="8">
        <v>17</v>
      </c>
      <c r="B26" s="536" t="s">
        <v>1001</v>
      </c>
      <c r="C26" s="544">
        <v>64400</v>
      </c>
      <c r="D26" s="544">
        <v>60105</v>
      </c>
      <c r="E26" s="544">
        <f t="shared" si="0"/>
        <v>1094</v>
      </c>
      <c r="F26" s="544">
        <v>3201</v>
      </c>
      <c r="G26" s="546">
        <v>0</v>
      </c>
      <c r="H26" s="698"/>
    </row>
    <row r="27" spans="1:8" s="195" customFormat="1" ht="15">
      <c r="A27" s="8">
        <v>18</v>
      </c>
      <c r="B27" s="536" t="s">
        <v>1002</v>
      </c>
      <c r="C27" s="544">
        <v>114317</v>
      </c>
      <c r="D27" s="544">
        <v>108472</v>
      </c>
      <c r="E27" s="544">
        <f t="shared" si="0"/>
        <v>608</v>
      </c>
      <c r="F27" s="544">
        <v>5237</v>
      </c>
      <c r="G27" s="546">
        <v>0</v>
      </c>
      <c r="H27" s="698"/>
    </row>
    <row r="28" spans="1:8" s="195" customFormat="1" ht="15">
      <c r="A28" s="8">
        <v>19</v>
      </c>
      <c r="B28" s="536" t="s">
        <v>1010</v>
      </c>
      <c r="C28" s="544">
        <v>62751</v>
      </c>
      <c r="D28" s="544">
        <v>59810</v>
      </c>
      <c r="E28" s="544">
        <f t="shared" si="0"/>
        <v>299</v>
      </c>
      <c r="F28" s="544">
        <v>2642</v>
      </c>
      <c r="G28" s="546">
        <v>0</v>
      </c>
      <c r="H28" s="698"/>
    </row>
    <row r="29" spans="1:8" s="195" customFormat="1" ht="15">
      <c r="A29" s="8">
        <v>20</v>
      </c>
      <c r="B29" s="536" t="s">
        <v>1003</v>
      </c>
      <c r="C29" s="544">
        <v>158032</v>
      </c>
      <c r="D29" s="544">
        <v>142944</v>
      </c>
      <c r="E29" s="544">
        <f t="shared" si="0"/>
        <v>1670</v>
      </c>
      <c r="F29" s="544">
        <v>13418</v>
      </c>
      <c r="G29" s="546">
        <v>0</v>
      </c>
      <c r="H29" s="698"/>
    </row>
    <row r="30" spans="1:8" s="195" customFormat="1" ht="15">
      <c r="A30" s="8">
        <v>21</v>
      </c>
      <c r="B30" s="536" t="s">
        <v>1012</v>
      </c>
      <c r="C30" s="544">
        <v>48629</v>
      </c>
      <c r="D30" s="544">
        <v>44927</v>
      </c>
      <c r="E30" s="544">
        <f t="shared" si="0"/>
        <v>148</v>
      </c>
      <c r="F30" s="544">
        <v>3554</v>
      </c>
      <c r="G30" s="546">
        <v>0</v>
      </c>
      <c r="H30" s="698"/>
    </row>
    <row r="31" spans="1:8" s="195" customFormat="1" ht="15">
      <c r="A31" s="8">
        <v>22</v>
      </c>
      <c r="B31" s="536" t="s">
        <v>1011</v>
      </c>
      <c r="C31" s="544">
        <v>71381</v>
      </c>
      <c r="D31" s="544">
        <v>69214</v>
      </c>
      <c r="E31" s="544">
        <f t="shared" si="0"/>
        <v>105</v>
      </c>
      <c r="F31" s="544">
        <v>2062</v>
      </c>
      <c r="G31" s="546">
        <v>0</v>
      </c>
      <c r="H31" s="698"/>
    </row>
    <row r="32" spans="1:8" s="195" customFormat="1" ht="15">
      <c r="A32" s="8">
        <v>23</v>
      </c>
      <c r="B32" s="536" t="s">
        <v>1005</v>
      </c>
      <c r="C32" s="544">
        <v>159017</v>
      </c>
      <c r="D32" s="544">
        <v>150307</v>
      </c>
      <c r="E32" s="544">
        <f t="shared" si="0"/>
        <v>1836</v>
      </c>
      <c r="F32" s="544">
        <v>6874</v>
      </c>
      <c r="G32" s="546">
        <v>0</v>
      </c>
      <c r="H32" s="698"/>
    </row>
    <row r="33" spans="1:10" s="195" customFormat="1" ht="15">
      <c r="A33" s="8">
        <v>24</v>
      </c>
      <c r="B33" s="536" t="s">
        <v>972</v>
      </c>
      <c r="C33" s="544">
        <v>107077</v>
      </c>
      <c r="D33" s="544">
        <v>97983</v>
      </c>
      <c r="E33" s="544">
        <f t="shared" si="0"/>
        <v>729</v>
      </c>
      <c r="F33" s="544">
        <v>8365</v>
      </c>
      <c r="G33" s="546">
        <v>0</v>
      </c>
      <c r="H33" s="698"/>
    </row>
    <row r="34" spans="1:10" s="195" customFormat="1" ht="15">
      <c r="A34" s="8">
        <v>25</v>
      </c>
      <c r="B34" s="536" t="s">
        <v>999</v>
      </c>
      <c r="C34" s="544">
        <v>209978</v>
      </c>
      <c r="D34" s="544">
        <v>195640</v>
      </c>
      <c r="E34" s="544">
        <f t="shared" si="0"/>
        <v>3184</v>
      </c>
      <c r="F34" s="544">
        <v>11154</v>
      </c>
      <c r="G34" s="546">
        <v>0</v>
      </c>
      <c r="H34" s="698"/>
    </row>
    <row r="35" spans="1:10" s="195" customFormat="1" ht="15">
      <c r="A35" s="8">
        <v>26</v>
      </c>
      <c r="B35" s="536" t="s">
        <v>973</v>
      </c>
      <c r="C35" s="544">
        <v>285407</v>
      </c>
      <c r="D35" s="544">
        <v>263517</v>
      </c>
      <c r="E35" s="544">
        <f t="shared" si="0"/>
        <v>1476</v>
      </c>
      <c r="F35" s="544">
        <v>20414</v>
      </c>
      <c r="G35" s="546">
        <v>0</v>
      </c>
      <c r="H35" s="698"/>
    </row>
    <row r="36" spans="1:10" s="195" customFormat="1" ht="15">
      <c r="A36" s="8">
        <v>27</v>
      </c>
      <c r="B36" s="536" t="s">
        <v>974</v>
      </c>
      <c r="C36" s="544">
        <v>217664</v>
      </c>
      <c r="D36" s="544">
        <v>196449</v>
      </c>
      <c r="E36" s="544">
        <f t="shared" si="0"/>
        <v>2637</v>
      </c>
      <c r="F36" s="544">
        <v>18578</v>
      </c>
      <c r="G36" s="546">
        <v>0</v>
      </c>
      <c r="H36" s="698"/>
    </row>
    <row r="37" spans="1:10" s="195" customFormat="1" ht="15">
      <c r="A37" s="8">
        <v>28</v>
      </c>
      <c r="B37" s="536" t="s">
        <v>975</v>
      </c>
      <c r="C37" s="544">
        <v>270186</v>
      </c>
      <c r="D37" s="544">
        <v>242437</v>
      </c>
      <c r="E37" s="544">
        <f t="shared" si="0"/>
        <v>4066</v>
      </c>
      <c r="F37" s="544">
        <v>23683</v>
      </c>
      <c r="G37" s="546">
        <v>0</v>
      </c>
      <c r="H37" s="698"/>
    </row>
    <row r="38" spans="1:10" s="195" customFormat="1" ht="15">
      <c r="A38" s="8">
        <v>29</v>
      </c>
      <c r="B38" s="536" t="s">
        <v>1000</v>
      </c>
      <c r="C38" s="544">
        <v>151283</v>
      </c>
      <c r="D38" s="544">
        <v>134477</v>
      </c>
      <c r="E38" s="544">
        <f t="shared" si="0"/>
        <v>341</v>
      </c>
      <c r="F38" s="544">
        <v>16465</v>
      </c>
      <c r="G38" s="546">
        <v>0</v>
      </c>
      <c r="H38" s="698"/>
    </row>
    <row r="39" spans="1:10" s="195" customFormat="1" ht="15">
      <c r="A39" s="8">
        <v>30</v>
      </c>
      <c r="B39" s="536" t="s">
        <v>976</v>
      </c>
      <c r="C39" s="544">
        <v>273348</v>
      </c>
      <c r="D39" s="544">
        <v>256746</v>
      </c>
      <c r="E39" s="544">
        <f t="shared" si="0"/>
        <v>2036</v>
      </c>
      <c r="F39" s="544">
        <v>14566</v>
      </c>
      <c r="G39" s="546">
        <v>0</v>
      </c>
      <c r="H39" s="698"/>
    </row>
    <row r="40" spans="1:10" s="195" customFormat="1" ht="15">
      <c r="A40" s="8">
        <v>31</v>
      </c>
      <c r="B40" s="536" t="s">
        <v>977</v>
      </c>
      <c r="C40" s="544">
        <v>262942</v>
      </c>
      <c r="D40" s="544">
        <v>227012</v>
      </c>
      <c r="E40" s="544">
        <f t="shared" si="0"/>
        <v>3514</v>
      </c>
      <c r="F40" s="544">
        <v>32416</v>
      </c>
      <c r="G40" s="546">
        <v>0</v>
      </c>
      <c r="H40" s="698"/>
    </row>
    <row r="41" spans="1:10" s="195" customFormat="1" ht="15">
      <c r="A41" s="8">
        <v>32</v>
      </c>
      <c r="B41" s="536" t="s">
        <v>978</v>
      </c>
      <c r="C41" s="544">
        <v>171065</v>
      </c>
      <c r="D41" s="544">
        <v>155394</v>
      </c>
      <c r="E41" s="544">
        <f t="shared" si="0"/>
        <v>1334</v>
      </c>
      <c r="F41" s="544">
        <v>14337</v>
      </c>
      <c r="G41" s="546">
        <v>0</v>
      </c>
      <c r="H41" s="698"/>
    </row>
    <row r="42" spans="1:10" s="195" customFormat="1" ht="15">
      <c r="A42" s="8">
        <v>33</v>
      </c>
      <c r="B42" s="536" t="s">
        <v>979</v>
      </c>
      <c r="C42" s="544">
        <v>225870</v>
      </c>
      <c r="D42" s="544">
        <v>194909</v>
      </c>
      <c r="E42" s="544">
        <f t="shared" si="0"/>
        <v>2560</v>
      </c>
      <c r="F42" s="544">
        <v>28401</v>
      </c>
      <c r="G42" s="546">
        <v>0</v>
      </c>
      <c r="H42" s="698"/>
    </row>
    <row r="43" spans="1:10" s="195" customFormat="1" ht="15">
      <c r="A43" s="8">
        <v>34</v>
      </c>
      <c r="B43" s="536" t="s">
        <v>980</v>
      </c>
      <c r="C43" s="544">
        <v>154391</v>
      </c>
      <c r="D43" s="544">
        <v>141218</v>
      </c>
      <c r="E43" s="544">
        <f t="shared" si="0"/>
        <v>1712</v>
      </c>
      <c r="F43" s="544">
        <v>11461</v>
      </c>
      <c r="G43" s="546">
        <v>0</v>
      </c>
      <c r="H43" s="698"/>
    </row>
    <row r="44" spans="1:10" ht="15">
      <c r="A44" s="3" t="s">
        <v>17</v>
      </c>
      <c r="B44" s="9"/>
      <c r="C44" s="545">
        <f>SUM(C10:C43)</f>
        <v>4511801</v>
      </c>
      <c r="D44" s="546">
        <f>SUM(D10:D43)</f>
        <v>4068815</v>
      </c>
      <c r="E44" s="546">
        <f t="shared" ref="E44:G44" si="1">SUM(E10:E43)</f>
        <v>42801</v>
      </c>
      <c r="F44" s="546">
        <f t="shared" si="1"/>
        <v>400185</v>
      </c>
      <c r="G44" s="546">
        <f t="shared" si="1"/>
        <v>0</v>
      </c>
      <c r="H44" s="698"/>
      <c r="I44" s="195"/>
    </row>
    <row r="47" spans="1:10">
      <c r="A47" s="489"/>
      <c r="B47" s="489"/>
      <c r="C47" s="489"/>
      <c r="D47" s="489"/>
      <c r="E47" s="489"/>
      <c r="F47" s="489"/>
      <c r="G47" s="489"/>
      <c r="H47" s="489"/>
      <c r="I47" s="489"/>
      <c r="J47" s="489"/>
    </row>
    <row r="48" spans="1:10" ht="15" customHeight="1">
      <c r="A48" s="489"/>
      <c r="B48" s="13"/>
      <c r="C48" s="13"/>
      <c r="D48" s="13"/>
      <c r="E48" s="804" t="s">
        <v>12</v>
      </c>
      <c r="F48" s="804"/>
      <c r="G48" s="486"/>
      <c r="J48" s="486"/>
    </row>
    <row r="49" spans="1:13" ht="15" customHeight="1">
      <c r="A49" s="803" t="s">
        <v>906</v>
      </c>
      <c r="B49" s="803"/>
      <c r="C49" s="803"/>
      <c r="D49" s="803"/>
      <c r="E49" s="804" t="s">
        <v>13</v>
      </c>
      <c r="F49" s="804"/>
      <c r="G49" s="486"/>
      <c r="J49" s="486"/>
    </row>
    <row r="50" spans="1:13" ht="15" customHeight="1">
      <c r="A50" s="804" t="s">
        <v>907</v>
      </c>
      <c r="B50" s="804"/>
      <c r="C50" s="804"/>
      <c r="D50" s="804"/>
      <c r="E50" s="804" t="s">
        <v>18</v>
      </c>
      <c r="F50" s="804"/>
      <c r="G50" s="486"/>
      <c r="J50" s="486"/>
    </row>
    <row r="51" spans="1:13">
      <c r="A51" s="804" t="s">
        <v>908</v>
      </c>
      <c r="B51" s="804"/>
      <c r="C51" s="804"/>
      <c r="D51" s="804"/>
      <c r="E51" s="803" t="s">
        <v>84</v>
      </c>
      <c r="F51" s="803"/>
      <c r="G51" s="487"/>
      <c r="J51" s="487"/>
    </row>
    <row r="52" spans="1:13">
      <c r="A52" s="488"/>
      <c r="B52" s="488"/>
      <c r="C52" s="488"/>
      <c r="D52" s="488"/>
      <c r="E52" s="488"/>
      <c r="F52" s="488"/>
      <c r="G52" s="489"/>
      <c r="H52" s="489"/>
      <c r="I52" s="489"/>
      <c r="J52" s="489"/>
      <c r="K52" s="304"/>
      <c r="L52" s="304"/>
      <c r="M52" s="304"/>
    </row>
    <row r="53" spans="1:13" ht="15.75">
      <c r="A53" s="13" t="s">
        <v>11</v>
      </c>
      <c r="B53" s="489"/>
      <c r="C53" s="489"/>
      <c r="D53" s="489"/>
      <c r="E53" s="489"/>
      <c r="F53" s="489"/>
      <c r="G53" s="489"/>
      <c r="H53" s="489"/>
      <c r="I53" s="489"/>
      <c r="J53" s="489"/>
    </row>
    <row r="54" spans="1:13">
      <c r="A54" s="489"/>
      <c r="B54" s="489"/>
      <c r="C54" s="489"/>
      <c r="D54" s="489"/>
      <c r="E54" s="489"/>
      <c r="F54" s="489"/>
      <c r="G54" s="489"/>
      <c r="H54" s="489"/>
      <c r="I54" s="489"/>
      <c r="J54" s="489"/>
    </row>
  </sheetData>
  <mergeCells count="11">
    <mergeCell ref="A2:G2"/>
    <mergeCell ref="F7:G7"/>
    <mergeCell ref="A49:D49"/>
    <mergeCell ref="A50:D50"/>
    <mergeCell ref="A5:G5"/>
    <mergeCell ref="A3:G3"/>
    <mergeCell ref="A51:D51"/>
    <mergeCell ref="E51:F51"/>
    <mergeCell ref="E50:F50"/>
    <mergeCell ref="E48:F48"/>
    <mergeCell ref="E49:F49"/>
  </mergeCells>
  <printOptions horizontalCentered="1"/>
  <pageMargins left="0.70866141732283472" right="0.70866141732283472" top="0.23622047244094491" bottom="0" header="0.31496062992125984" footer="0.31496062992125984"/>
  <pageSetup paperSize="9" scale="71" orientation="landscape"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P61"/>
  <sheetViews>
    <sheetView view="pageBreakPreview" topLeftCell="A22" zoomScale="90" zoomScaleSheetLayoutView="90" workbookViewId="0">
      <selection activeCell="C30" sqref="C30:J30"/>
    </sheetView>
  </sheetViews>
  <sheetFormatPr defaultRowHeight="12.75"/>
  <cols>
    <col min="1" max="1" width="7.42578125" style="15" customWidth="1"/>
    <col min="2" max="2" width="21" style="15" customWidth="1"/>
    <col min="3" max="3" width="11" style="15" customWidth="1"/>
    <col min="4" max="4" width="10" style="15" customWidth="1"/>
    <col min="5" max="5" width="13.140625" style="15" customWidth="1"/>
    <col min="6" max="6" width="15.140625" style="15" customWidth="1"/>
    <col min="7" max="7" width="13.28515625" style="15" customWidth="1"/>
    <col min="8" max="8" width="14.7109375" style="15" customWidth="1"/>
    <col min="9" max="9" width="15.5703125" style="15" customWidth="1"/>
    <col min="10" max="10" width="19.28515625" style="15" customWidth="1"/>
    <col min="11" max="16384" width="9.140625" style="15"/>
  </cols>
  <sheetData>
    <row r="1" spans="1:13" customFormat="1">
      <c r="E1" s="803"/>
      <c r="F1" s="803"/>
      <c r="G1" s="803"/>
      <c r="H1" s="803"/>
      <c r="I1" s="803"/>
      <c r="J1" s="138" t="s">
        <v>62</v>
      </c>
    </row>
    <row r="2" spans="1:13" customFormat="1" ht="15">
      <c r="A2" s="920" t="s">
        <v>0</v>
      </c>
      <c r="B2" s="920"/>
      <c r="C2" s="920"/>
      <c r="D2" s="920"/>
      <c r="E2" s="920"/>
      <c r="F2" s="920"/>
      <c r="G2" s="920"/>
      <c r="H2" s="920"/>
      <c r="I2" s="920"/>
      <c r="J2" s="920"/>
    </row>
    <row r="3" spans="1:13" customFormat="1" ht="20.25">
      <c r="A3" s="848" t="s">
        <v>745</v>
      </c>
      <c r="B3" s="848"/>
      <c r="C3" s="848"/>
      <c r="D3" s="848"/>
      <c r="E3" s="848"/>
      <c r="F3" s="848"/>
      <c r="G3" s="848"/>
      <c r="H3" s="848"/>
      <c r="I3" s="848"/>
      <c r="J3" s="848"/>
    </row>
    <row r="4" spans="1:13" customFormat="1" ht="14.25" customHeight="1"/>
    <row r="5" spans="1:13" ht="31.5" customHeight="1">
      <c r="A5" s="925" t="s">
        <v>803</v>
      </c>
      <c r="B5" s="925"/>
      <c r="C5" s="925"/>
      <c r="D5" s="925"/>
      <c r="E5" s="925"/>
      <c r="F5" s="925"/>
      <c r="G5" s="925"/>
      <c r="H5" s="925"/>
      <c r="I5" s="925"/>
      <c r="J5" s="925"/>
    </row>
    <row r="6" spans="1:13" ht="13.5" customHeight="1">
      <c r="A6" s="1"/>
      <c r="B6" s="1"/>
      <c r="C6" s="1"/>
      <c r="D6" s="1"/>
      <c r="E6" s="1"/>
      <c r="F6" s="1"/>
      <c r="G6" s="1"/>
      <c r="H6" s="1"/>
      <c r="I6" s="1"/>
      <c r="J6" s="1"/>
    </row>
    <row r="7" spans="1:13" ht="0.75" customHeight="1"/>
    <row r="8" spans="1:13">
      <c r="A8" s="850" t="s">
        <v>948</v>
      </c>
      <c r="B8" s="850"/>
      <c r="C8" s="29"/>
      <c r="H8" s="914" t="s">
        <v>831</v>
      </c>
      <c r="I8" s="914"/>
      <c r="J8" s="914"/>
    </row>
    <row r="9" spans="1:13">
      <c r="A9" s="834" t="s">
        <v>2</v>
      </c>
      <c r="B9" s="834" t="s">
        <v>3</v>
      </c>
      <c r="C9" s="815" t="s">
        <v>804</v>
      </c>
      <c r="D9" s="866"/>
      <c r="E9" s="866"/>
      <c r="F9" s="816"/>
      <c r="G9" s="815" t="s">
        <v>105</v>
      </c>
      <c r="H9" s="866"/>
      <c r="I9" s="866"/>
      <c r="J9" s="816"/>
      <c r="M9" s="20"/>
    </row>
    <row r="10" spans="1:13" ht="64.5" customHeight="1">
      <c r="A10" s="834"/>
      <c r="B10" s="834"/>
      <c r="C10" s="5" t="s">
        <v>183</v>
      </c>
      <c r="D10" s="5" t="s">
        <v>15</v>
      </c>
      <c r="E10" s="756" t="s">
        <v>1192</v>
      </c>
      <c r="F10" s="7" t="s">
        <v>200</v>
      </c>
      <c r="G10" s="5" t="s">
        <v>183</v>
      </c>
      <c r="H10" s="24" t="s">
        <v>16</v>
      </c>
      <c r="I10" s="104" t="s">
        <v>715</v>
      </c>
      <c r="J10" s="5" t="s">
        <v>716</v>
      </c>
    </row>
    <row r="11" spans="1:13">
      <c r="A11" s="5">
        <v>1</v>
      </c>
      <c r="B11" s="5">
        <v>2</v>
      </c>
      <c r="C11" s="5">
        <v>3</v>
      </c>
      <c r="D11" s="5">
        <v>4</v>
      </c>
      <c r="E11" s="5">
        <v>5</v>
      </c>
      <c r="F11" s="7">
        <v>6</v>
      </c>
      <c r="G11" s="5">
        <v>7</v>
      </c>
      <c r="H11" s="102">
        <v>8</v>
      </c>
      <c r="I11" s="5">
        <v>9</v>
      </c>
      <c r="J11" s="5">
        <v>10</v>
      </c>
    </row>
    <row r="12" spans="1:13">
      <c r="A12" s="539">
        <v>1</v>
      </c>
      <c r="B12" s="537" t="s">
        <v>912</v>
      </c>
      <c r="C12" s="537">
        <v>241</v>
      </c>
      <c r="D12" s="537">
        <v>53047</v>
      </c>
      <c r="E12" s="537">
        <v>248</v>
      </c>
      <c r="F12" s="553">
        <f>D12*E12</f>
        <v>13155656</v>
      </c>
      <c r="G12" s="537">
        <f>'AT-3'!C9</f>
        <v>236</v>
      </c>
      <c r="H12" s="554">
        <v>7828147</v>
      </c>
      <c r="I12" s="537">
        <v>172</v>
      </c>
      <c r="J12" s="554">
        <f>ROUND(H12/I12,0)</f>
        <v>45512</v>
      </c>
    </row>
    <row r="13" spans="1:13">
      <c r="A13" s="539">
        <v>2</v>
      </c>
      <c r="B13" s="537" t="s">
        <v>913</v>
      </c>
      <c r="C13" s="537">
        <v>409</v>
      </c>
      <c r="D13" s="537">
        <v>74939</v>
      </c>
      <c r="E13" s="537">
        <v>248</v>
      </c>
      <c r="F13" s="553">
        <f t="shared" ref="F13:F45" si="0">D13*E13</f>
        <v>18584872</v>
      </c>
      <c r="G13" s="537">
        <f>'AT-3'!C10</f>
        <v>408</v>
      </c>
      <c r="H13" s="554">
        <v>9663636</v>
      </c>
      <c r="I13" s="537">
        <v>172</v>
      </c>
      <c r="J13" s="554">
        <f t="shared" ref="J13:J45" si="1">ROUND(H13/I13,0)</f>
        <v>56184</v>
      </c>
      <c r="K13" s="396"/>
    </row>
    <row r="14" spans="1:13">
      <c r="A14" s="539">
        <v>3</v>
      </c>
      <c r="B14" s="537" t="s">
        <v>914</v>
      </c>
      <c r="C14" s="537">
        <v>814</v>
      </c>
      <c r="D14" s="537">
        <v>74142</v>
      </c>
      <c r="E14" s="537">
        <v>248</v>
      </c>
      <c r="F14" s="553">
        <f t="shared" si="0"/>
        <v>18387216</v>
      </c>
      <c r="G14" s="537">
        <f>'AT-3'!C11</f>
        <v>811</v>
      </c>
      <c r="H14" s="554">
        <v>12084471</v>
      </c>
      <c r="I14" s="537">
        <v>172</v>
      </c>
      <c r="J14" s="554">
        <f t="shared" si="1"/>
        <v>70259</v>
      </c>
      <c r="K14" s="396"/>
    </row>
    <row r="15" spans="1:13" s="499" customFormat="1">
      <c r="A15" s="555">
        <v>4</v>
      </c>
      <c r="B15" s="556" t="s">
        <v>915</v>
      </c>
      <c r="C15" s="556">
        <v>504</v>
      </c>
      <c r="D15" s="556">
        <v>60808</v>
      </c>
      <c r="E15" s="537">
        <v>248</v>
      </c>
      <c r="F15" s="557">
        <f t="shared" si="0"/>
        <v>15080384</v>
      </c>
      <c r="G15" s="537">
        <f>'AT-3'!C12</f>
        <v>504</v>
      </c>
      <c r="H15" s="558">
        <v>10676231</v>
      </c>
      <c r="I15" s="537">
        <v>172</v>
      </c>
      <c r="J15" s="558">
        <f t="shared" si="1"/>
        <v>62071</v>
      </c>
    </row>
    <row r="16" spans="1:13">
      <c r="A16" s="539">
        <v>5</v>
      </c>
      <c r="B16" s="537" t="s">
        <v>916</v>
      </c>
      <c r="C16" s="537">
        <v>913</v>
      </c>
      <c r="D16" s="537">
        <v>69411</v>
      </c>
      <c r="E16" s="537">
        <v>248</v>
      </c>
      <c r="F16" s="553">
        <f t="shared" si="0"/>
        <v>17213928</v>
      </c>
      <c r="G16" s="537">
        <f>'AT-3'!C13</f>
        <v>910</v>
      </c>
      <c r="H16" s="554">
        <v>11187668</v>
      </c>
      <c r="I16" s="537">
        <v>172</v>
      </c>
      <c r="J16" s="554">
        <f t="shared" si="1"/>
        <v>65045</v>
      </c>
      <c r="K16" s="396"/>
    </row>
    <row r="17" spans="1:11">
      <c r="A17" s="539">
        <v>6</v>
      </c>
      <c r="B17" s="537" t="s">
        <v>917</v>
      </c>
      <c r="C17" s="537">
        <v>646</v>
      </c>
      <c r="D17" s="537">
        <v>29334</v>
      </c>
      <c r="E17" s="537">
        <v>248</v>
      </c>
      <c r="F17" s="553">
        <f t="shared" si="0"/>
        <v>7274832</v>
      </c>
      <c r="G17" s="537">
        <f>'AT-3'!C14</f>
        <v>641</v>
      </c>
      <c r="H17" s="554">
        <v>5029728</v>
      </c>
      <c r="I17" s="537">
        <v>172</v>
      </c>
      <c r="J17" s="554">
        <f t="shared" si="1"/>
        <v>29243</v>
      </c>
      <c r="K17" s="396"/>
    </row>
    <row r="18" spans="1:11">
      <c r="A18" s="539">
        <v>7</v>
      </c>
      <c r="B18" s="537" t="s">
        <v>918</v>
      </c>
      <c r="C18" s="537">
        <v>808</v>
      </c>
      <c r="D18" s="537">
        <v>32810</v>
      </c>
      <c r="E18" s="537">
        <v>248</v>
      </c>
      <c r="F18" s="553">
        <f t="shared" si="0"/>
        <v>8136880</v>
      </c>
      <c r="G18" s="537">
        <f>'AT-3'!C15</f>
        <v>792</v>
      </c>
      <c r="H18" s="554">
        <v>5455931</v>
      </c>
      <c r="I18" s="537">
        <v>172</v>
      </c>
      <c r="J18" s="554">
        <f t="shared" si="1"/>
        <v>31721</v>
      </c>
      <c r="K18" s="396"/>
    </row>
    <row r="19" spans="1:11">
      <c r="A19" s="539">
        <v>8</v>
      </c>
      <c r="B19" s="537" t="s">
        <v>919</v>
      </c>
      <c r="C19" s="537">
        <v>1182</v>
      </c>
      <c r="D19" s="537">
        <v>51010</v>
      </c>
      <c r="E19" s="537">
        <v>248</v>
      </c>
      <c r="F19" s="553">
        <f t="shared" si="0"/>
        <v>12650480</v>
      </c>
      <c r="G19" s="537">
        <f>'AT-3'!C16</f>
        <v>1173</v>
      </c>
      <c r="H19" s="554">
        <v>8485554</v>
      </c>
      <c r="I19" s="537">
        <v>172</v>
      </c>
      <c r="J19" s="554">
        <f t="shared" si="1"/>
        <v>49335</v>
      </c>
      <c r="K19" s="396"/>
    </row>
    <row r="20" spans="1:11">
      <c r="A20" s="539">
        <v>9</v>
      </c>
      <c r="B20" s="537" t="s">
        <v>920</v>
      </c>
      <c r="C20" s="537">
        <v>921</v>
      </c>
      <c r="D20" s="537">
        <v>43755</v>
      </c>
      <c r="E20" s="537">
        <v>248</v>
      </c>
      <c r="F20" s="553">
        <f t="shared" si="0"/>
        <v>10851240</v>
      </c>
      <c r="G20" s="537">
        <f>'AT-3'!C17</f>
        <v>911</v>
      </c>
      <c r="H20" s="554">
        <v>6976188</v>
      </c>
      <c r="I20" s="537">
        <v>172</v>
      </c>
      <c r="J20" s="554">
        <f t="shared" si="1"/>
        <v>40559</v>
      </c>
      <c r="K20" s="396"/>
    </row>
    <row r="21" spans="1:11" s="396" customFormat="1">
      <c r="A21" s="539">
        <v>10</v>
      </c>
      <c r="B21" s="537" t="s">
        <v>921</v>
      </c>
      <c r="C21" s="537">
        <v>1288</v>
      </c>
      <c r="D21" s="537">
        <v>56298</v>
      </c>
      <c r="E21" s="537">
        <v>248</v>
      </c>
      <c r="F21" s="553">
        <f t="shared" si="0"/>
        <v>13961904</v>
      </c>
      <c r="G21" s="537">
        <f>'AT-3'!C18</f>
        <v>1269</v>
      </c>
      <c r="H21" s="554">
        <v>9004352</v>
      </c>
      <c r="I21" s="537">
        <v>172</v>
      </c>
      <c r="J21" s="554">
        <f t="shared" si="1"/>
        <v>52351</v>
      </c>
    </row>
    <row r="22" spans="1:11" s="396" customFormat="1">
      <c r="A22" s="539">
        <v>11</v>
      </c>
      <c r="B22" s="537" t="s">
        <v>922</v>
      </c>
      <c r="C22" s="537">
        <v>725</v>
      </c>
      <c r="D22" s="537">
        <v>42596</v>
      </c>
      <c r="E22" s="537">
        <v>248</v>
      </c>
      <c r="F22" s="553">
        <f t="shared" si="0"/>
        <v>10563808</v>
      </c>
      <c r="G22" s="537">
        <f>'AT-3'!C19</f>
        <v>726</v>
      </c>
      <c r="H22" s="554">
        <v>6980444</v>
      </c>
      <c r="I22" s="537">
        <v>172</v>
      </c>
      <c r="J22" s="554">
        <f t="shared" si="1"/>
        <v>40584</v>
      </c>
    </row>
    <row r="23" spans="1:11" s="396" customFormat="1">
      <c r="A23" s="539">
        <v>12</v>
      </c>
      <c r="B23" s="537" t="s">
        <v>923</v>
      </c>
      <c r="C23" s="537">
        <v>948</v>
      </c>
      <c r="D23" s="537">
        <v>97906</v>
      </c>
      <c r="E23" s="537">
        <v>248</v>
      </c>
      <c r="F23" s="553">
        <f t="shared" si="0"/>
        <v>24280688</v>
      </c>
      <c r="G23" s="537">
        <f>'AT-3'!C20</f>
        <v>946</v>
      </c>
      <c r="H23" s="554">
        <v>15705507</v>
      </c>
      <c r="I23" s="537">
        <v>172</v>
      </c>
      <c r="J23" s="554">
        <f t="shared" si="1"/>
        <v>91311</v>
      </c>
    </row>
    <row r="24" spans="1:11" s="396" customFormat="1">
      <c r="A24" s="539">
        <v>13</v>
      </c>
      <c r="B24" s="537" t="s">
        <v>924</v>
      </c>
      <c r="C24" s="537">
        <v>805</v>
      </c>
      <c r="D24" s="537">
        <v>51897</v>
      </c>
      <c r="E24" s="537">
        <v>248</v>
      </c>
      <c r="F24" s="553">
        <f t="shared" si="0"/>
        <v>12870456</v>
      </c>
      <c r="G24" s="537">
        <f>'AT-3'!C21</f>
        <v>778</v>
      </c>
      <c r="H24" s="554">
        <v>8443455</v>
      </c>
      <c r="I24" s="537">
        <v>172</v>
      </c>
      <c r="J24" s="554">
        <f t="shared" si="1"/>
        <v>49090</v>
      </c>
    </row>
    <row r="25" spans="1:11" s="396" customFormat="1">
      <c r="A25" s="539">
        <v>14</v>
      </c>
      <c r="B25" s="537" t="s">
        <v>925</v>
      </c>
      <c r="C25" s="537">
        <v>344</v>
      </c>
      <c r="D25" s="537">
        <v>37910</v>
      </c>
      <c r="E25" s="537">
        <v>248</v>
      </c>
      <c r="F25" s="553">
        <f t="shared" si="0"/>
        <v>9401680</v>
      </c>
      <c r="G25" s="537">
        <f>'AT-3'!C22</f>
        <v>341</v>
      </c>
      <c r="H25" s="554">
        <v>6068894</v>
      </c>
      <c r="I25" s="537">
        <v>172</v>
      </c>
      <c r="J25" s="554">
        <f t="shared" si="1"/>
        <v>35284</v>
      </c>
    </row>
    <row r="26" spans="1:11" s="396" customFormat="1">
      <c r="A26" s="539">
        <v>15</v>
      </c>
      <c r="B26" s="537" t="s">
        <v>926</v>
      </c>
      <c r="C26" s="537">
        <v>125</v>
      </c>
      <c r="D26" s="537">
        <v>13638</v>
      </c>
      <c r="E26" s="537">
        <v>248</v>
      </c>
      <c r="F26" s="553">
        <f t="shared" si="0"/>
        <v>3382224</v>
      </c>
      <c r="G26" s="537">
        <f>'AT-3'!C23</f>
        <v>124</v>
      </c>
      <c r="H26" s="554">
        <v>2046080</v>
      </c>
      <c r="I26" s="537">
        <v>172</v>
      </c>
      <c r="J26" s="554">
        <f t="shared" si="1"/>
        <v>11896</v>
      </c>
    </row>
    <row r="27" spans="1:11" s="396" customFormat="1">
      <c r="A27" s="539">
        <v>16</v>
      </c>
      <c r="B27" s="537" t="s">
        <v>927</v>
      </c>
      <c r="C27" s="537">
        <v>1281</v>
      </c>
      <c r="D27" s="537">
        <v>53997</v>
      </c>
      <c r="E27" s="537">
        <v>248</v>
      </c>
      <c r="F27" s="553">
        <f t="shared" si="0"/>
        <v>13391256</v>
      </c>
      <c r="G27" s="537">
        <f>'AT-3'!C24</f>
        <v>1247</v>
      </c>
      <c r="H27" s="554">
        <v>9001413</v>
      </c>
      <c r="I27" s="537">
        <v>172</v>
      </c>
      <c r="J27" s="554">
        <f t="shared" si="1"/>
        <v>52334</v>
      </c>
    </row>
    <row r="28" spans="1:11" s="396" customFormat="1">
      <c r="A28" s="539">
        <v>17</v>
      </c>
      <c r="B28" s="537" t="s">
        <v>928</v>
      </c>
      <c r="C28" s="537">
        <v>695</v>
      </c>
      <c r="D28" s="537">
        <v>37833</v>
      </c>
      <c r="E28" s="537">
        <v>248</v>
      </c>
      <c r="F28" s="553">
        <f t="shared" si="0"/>
        <v>9382584</v>
      </c>
      <c r="G28" s="537">
        <f>'AT-3'!C25</f>
        <v>672</v>
      </c>
      <c r="H28" s="554">
        <v>5891990</v>
      </c>
      <c r="I28" s="537">
        <v>172</v>
      </c>
      <c r="J28" s="554">
        <f t="shared" si="1"/>
        <v>34256</v>
      </c>
    </row>
    <row r="29" spans="1:11" s="396" customFormat="1">
      <c r="A29" s="539">
        <v>18</v>
      </c>
      <c r="B29" s="537" t="s">
        <v>929</v>
      </c>
      <c r="C29" s="537">
        <v>261</v>
      </c>
      <c r="D29" s="537">
        <v>60091</v>
      </c>
      <c r="E29" s="537">
        <v>248</v>
      </c>
      <c r="F29" s="553">
        <f t="shared" si="0"/>
        <v>14902568</v>
      </c>
      <c r="G29" s="537">
        <f>'AT-3'!C26</f>
        <v>254</v>
      </c>
      <c r="H29" s="554">
        <v>9759250</v>
      </c>
      <c r="I29" s="537">
        <v>172</v>
      </c>
      <c r="J29" s="554">
        <f t="shared" si="1"/>
        <v>56740</v>
      </c>
    </row>
    <row r="30" spans="1:11" s="396" customFormat="1">
      <c r="A30" s="539">
        <v>19</v>
      </c>
      <c r="B30" s="537" t="s">
        <v>930</v>
      </c>
      <c r="C30" s="537">
        <v>241</v>
      </c>
      <c r="D30" s="537">
        <v>33474</v>
      </c>
      <c r="E30" s="537">
        <v>248</v>
      </c>
      <c r="F30" s="553">
        <f t="shared" si="0"/>
        <v>8301552</v>
      </c>
      <c r="G30" s="537">
        <f>'AT-3'!C27</f>
        <v>234</v>
      </c>
      <c r="H30" s="554">
        <v>5358269</v>
      </c>
      <c r="I30" s="537">
        <v>172</v>
      </c>
      <c r="J30" s="554">
        <f t="shared" si="1"/>
        <v>31153</v>
      </c>
    </row>
    <row r="31" spans="1:11" s="396" customFormat="1">
      <c r="A31" s="539">
        <v>20</v>
      </c>
      <c r="B31" s="537" t="s">
        <v>931</v>
      </c>
      <c r="C31" s="537">
        <v>227</v>
      </c>
      <c r="D31" s="537">
        <v>89284</v>
      </c>
      <c r="E31" s="537">
        <v>248</v>
      </c>
      <c r="F31" s="553">
        <f t="shared" si="0"/>
        <v>22142432</v>
      </c>
      <c r="G31" s="537">
        <f>'AT-3'!C28</f>
        <v>226</v>
      </c>
      <c r="H31" s="554">
        <v>13176028</v>
      </c>
      <c r="I31" s="537">
        <v>172</v>
      </c>
      <c r="J31" s="554">
        <f t="shared" si="1"/>
        <v>76605</v>
      </c>
    </row>
    <row r="32" spans="1:11" s="396" customFormat="1">
      <c r="A32" s="539">
        <v>21</v>
      </c>
      <c r="B32" s="537" t="s">
        <v>932</v>
      </c>
      <c r="C32" s="537">
        <v>462</v>
      </c>
      <c r="D32" s="537">
        <v>27328</v>
      </c>
      <c r="E32" s="537">
        <v>248</v>
      </c>
      <c r="F32" s="553">
        <f t="shared" si="0"/>
        <v>6777344</v>
      </c>
      <c r="G32" s="537">
        <f>'AT-3'!C29</f>
        <v>460</v>
      </c>
      <c r="H32" s="554">
        <v>4202234</v>
      </c>
      <c r="I32" s="537">
        <v>172</v>
      </c>
      <c r="J32" s="554">
        <f t="shared" si="1"/>
        <v>24432</v>
      </c>
    </row>
    <row r="33" spans="1:11" s="396" customFormat="1">
      <c r="A33" s="539">
        <v>22</v>
      </c>
      <c r="B33" s="537" t="s">
        <v>933</v>
      </c>
      <c r="C33" s="537">
        <v>619</v>
      </c>
      <c r="D33" s="537">
        <v>42674</v>
      </c>
      <c r="E33" s="537">
        <v>248</v>
      </c>
      <c r="F33" s="553">
        <f t="shared" si="0"/>
        <v>10583152</v>
      </c>
      <c r="G33" s="537">
        <f>'AT-3'!C30</f>
        <v>612</v>
      </c>
      <c r="H33" s="554">
        <v>6890235</v>
      </c>
      <c r="I33" s="537">
        <v>172</v>
      </c>
      <c r="J33" s="554">
        <f t="shared" si="1"/>
        <v>40060</v>
      </c>
    </row>
    <row r="34" spans="1:11" s="396" customFormat="1">
      <c r="A34" s="539">
        <v>23</v>
      </c>
      <c r="B34" s="537" t="s">
        <v>934</v>
      </c>
      <c r="C34" s="537">
        <v>459</v>
      </c>
      <c r="D34" s="537">
        <v>93050</v>
      </c>
      <c r="E34" s="537">
        <v>248</v>
      </c>
      <c r="F34" s="553">
        <f t="shared" si="0"/>
        <v>23076400</v>
      </c>
      <c r="G34" s="537">
        <f>'AT-3'!C31</f>
        <v>455</v>
      </c>
      <c r="H34" s="554">
        <v>15616446</v>
      </c>
      <c r="I34" s="537">
        <v>172</v>
      </c>
      <c r="J34" s="554">
        <f t="shared" si="1"/>
        <v>90793</v>
      </c>
    </row>
    <row r="35" spans="1:11" s="396" customFormat="1">
      <c r="A35" s="539">
        <v>24</v>
      </c>
      <c r="B35" s="537" t="s">
        <v>935</v>
      </c>
      <c r="C35" s="537">
        <v>192</v>
      </c>
      <c r="D35" s="537">
        <v>64190</v>
      </c>
      <c r="E35" s="537">
        <v>248</v>
      </c>
      <c r="F35" s="553">
        <f t="shared" si="0"/>
        <v>15919120</v>
      </c>
      <c r="G35" s="537">
        <f>'AT-3'!C32</f>
        <v>190</v>
      </c>
      <c r="H35" s="554">
        <v>10193187</v>
      </c>
      <c r="I35" s="537">
        <v>172</v>
      </c>
      <c r="J35" s="554">
        <f t="shared" si="1"/>
        <v>59263</v>
      </c>
    </row>
    <row r="36" spans="1:11" s="396" customFormat="1">
      <c r="A36" s="539">
        <v>25</v>
      </c>
      <c r="B36" s="537" t="s">
        <v>936</v>
      </c>
      <c r="C36" s="537">
        <v>554</v>
      </c>
      <c r="D36" s="537">
        <v>121782</v>
      </c>
      <c r="E36" s="537">
        <v>248</v>
      </c>
      <c r="F36" s="553">
        <f t="shared" si="0"/>
        <v>30201936</v>
      </c>
      <c r="G36" s="537">
        <f>'AT-3'!C33</f>
        <v>551</v>
      </c>
      <c r="H36" s="554">
        <v>19897928</v>
      </c>
      <c r="I36" s="537">
        <v>172</v>
      </c>
      <c r="J36" s="554">
        <f t="shared" si="1"/>
        <v>115686</v>
      </c>
    </row>
    <row r="37" spans="1:11" s="396" customFormat="1">
      <c r="A37" s="539">
        <v>26</v>
      </c>
      <c r="B37" s="537" t="s">
        <v>937</v>
      </c>
      <c r="C37" s="537">
        <v>758</v>
      </c>
      <c r="D37" s="537">
        <v>168087</v>
      </c>
      <c r="E37" s="537">
        <v>248</v>
      </c>
      <c r="F37" s="553">
        <f t="shared" si="0"/>
        <v>41685576</v>
      </c>
      <c r="G37" s="537">
        <f>'AT-3'!C34</f>
        <v>742</v>
      </c>
      <c r="H37" s="554">
        <v>26807072</v>
      </c>
      <c r="I37" s="537">
        <v>172</v>
      </c>
      <c r="J37" s="554">
        <f t="shared" si="1"/>
        <v>155855</v>
      </c>
    </row>
    <row r="38" spans="1:11" s="396" customFormat="1">
      <c r="A38" s="539">
        <v>27</v>
      </c>
      <c r="B38" s="537" t="s">
        <v>938</v>
      </c>
      <c r="C38" s="537">
        <v>469</v>
      </c>
      <c r="D38" s="537">
        <v>131615</v>
      </c>
      <c r="E38" s="537">
        <v>248</v>
      </c>
      <c r="F38" s="553">
        <f t="shared" si="0"/>
        <v>32640520</v>
      </c>
      <c r="G38" s="537">
        <f>'AT-3'!C35</f>
        <v>470</v>
      </c>
      <c r="H38" s="554">
        <v>22342676</v>
      </c>
      <c r="I38" s="537">
        <v>172</v>
      </c>
      <c r="J38" s="554">
        <f t="shared" si="1"/>
        <v>129899</v>
      </c>
    </row>
    <row r="39" spans="1:11">
      <c r="A39" s="539">
        <v>28</v>
      </c>
      <c r="B39" s="537" t="s">
        <v>939</v>
      </c>
      <c r="C39" s="537">
        <v>862</v>
      </c>
      <c r="D39" s="537">
        <v>154710</v>
      </c>
      <c r="E39" s="537">
        <v>248</v>
      </c>
      <c r="F39" s="553">
        <f t="shared" si="0"/>
        <v>38368080</v>
      </c>
      <c r="G39" s="537">
        <f>'AT-3'!C36</f>
        <v>857</v>
      </c>
      <c r="H39" s="554">
        <v>25130055</v>
      </c>
      <c r="I39" s="537">
        <v>172</v>
      </c>
      <c r="J39" s="554">
        <f t="shared" si="1"/>
        <v>146105</v>
      </c>
      <c r="K39" s="396"/>
    </row>
    <row r="40" spans="1:11">
      <c r="A40" s="539">
        <v>29</v>
      </c>
      <c r="B40" s="537" t="s">
        <v>940</v>
      </c>
      <c r="C40" s="537">
        <v>539</v>
      </c>
      <c r="D40" s="537">
        <v>91558</v>
      </c>
      <c r="E40" s="537">
        <v>248</v>
      </c>
      <c r="F40" s="553">
        <f t="shared" si="0"/>
        <v>22706384</v>
      </c>
      <c r="G40" s="537">
        <f>'AT-3'!C37</f>
        <v>535</v>
      </c>
      <c r="H40" s="554">
        <v>13481179</v>
      </c>
      <c r="I40" s="537">
        <v>172</v>
      </c>
      <c r="J40" s="554">
        <f t="shared" si="1"/>
        <v>78379</v>
      </c>
      <c r="K40" s="396"/>
    </row>
    <row r="41" spans="1:11" s="499" customFormat="1">
      <c r="A41" s="555">
        <v>30</v>
      </c>
      <c r="B41" s="556" t="s">
        <v>941</v>
      </c>
      <c r="C41" s="556">
        <v>645</v>
      </c>
      <c r="D41" s="556">
        <v>155205</v>
      </c>
      <c r="E41" s="537">
        <v>248</v>
      </c>
      <c r="F41" s="557">
        <f t="shared" si="0"/>
        <v>38490840</v>
      </c>
      <c r="G41" s="537">
        <f>'AT-3'!C38</f>
        <v>639</v>
      </c>
      <c r="H41" s="558">
        <v>22226317</v>
      </c>
      <c r="I41" s="537">
        <v>172</v>
      </c>
      <c r="J41" s="558">
        <f t="shared" si="1"/>
        <v>129223</v>
      </c>
    </row>
    <row r="42" spans="1:11">
      <c r="A42" s="539">
        <v>31</v>
      </c>
      <c r="B42" s="537" t="s">
        <v>942</v>
      </c>
      <c r="C42" s="537">
        <v>785</v>
      </c>
      <c r="D42" s="537">
        <v>158257</v>
      </c>
      <c r="E42" s="537">
        <v>248</v>
      </c>
      <c r="F42" s="553">
        <f t="shared" si="0"/>
        <v>39247736</v>
      </c>
      <c r="G42" s="537">
        <f>'AT-3'!C39</f>
        <v>788</v>
      </c>
      <c r="H42" s="554">
        <v>24046473</v>
      </c>
      <c r="I42" s="537">
        <v>172</v>
      </c>
      <c r="J42" s="554">
        <f t="shared" si="1"/>
        <v>139805</v>
      </c>
      <c r="K42" s="396"/>
    </row>
    <row r="43" spans="1:11">
      <c r="A43" s="539">
        <v>32</v>
      </c>
      <c r="B43" s="537" t="s">
        <v>943</v>
      </c>
      <c r="C43" s="537">
        <v>387</v>
      </c>
      <c r="D43" s="537">
        <v>91611</v>
      </c>
      <c r="E43" s="537">
        <v>248</v>
      </c>
      <c r="F43" s="553">
        <f t="shared" si="0"/>
        <v>22719528</v>
      </c>
      <c r="G43" s="537">
        <f>'AT-3'!C40</f>
        <v>385</v>
      </c>
      <c r="H43" s="554">
        <v>15587447</v>
      </c>
      <c r="I43" s="537">
        <v>172</v>
      </c>
      <c r="J43" s="554">
        <f t="shared" si="1"/>
        <v>90625</v>
      </c>
      <c r="K43" s="396"/>
    </row>
    <row r="44" spans="1:11">
      <c r="A44" s="539">
        <v>33</v>
      </c>
      <c r="B44" s="537" t="s">
        <v>944</v>
      </c>
      <c r="C44" s="537">
        <v>686</v>
      </c>
      <c r="D44" s="537">
        <v>143417</v>
      </c>
      <c r="E44" s="537">
        <v>248</v>
      </c>
      <c r="F44" s="553">
        <f t="shared" si="0"/>
        <v>35567416</v>
      </c>
      <c r="G44" s="537">
        <f>'AT-3'!C41</f>
        <v>679</v>
      </c>
      <c r="H44" s="554">
        <v>23765616</v>
      </c>
      <c r="I44" s="537">
        <v>172</v>
      </c>
      <c r="J44" s="554">
        <f t="shared" si="1"/>
        <v>138172</v>
      </c>
      <c r="K44" s="396"/>
    </row>
    <row r="45" spans="1:11">
      <c r="A45" s="539">
        <v>34</v>
      </c>
      <c r="B45" s="537" t="s">
        <v>945</v>
      </c>
      <c r="C45" s="537">
        <v>462</v>
      </c>
      <c r="D45" s="537">
        <v>96827</v>
      </c>
      <c r="E45" s="537">
        <v>248</v>
      </c>
      <c r="F45" s="553">
        <f t="shared" si="0"/>
        <v>24013096</v>
      </c>
      <c r="G45" s="537">
        <f>'AT-3'!C42</f>
        <v>461</v>
      </c>
      <c r="H45" s="554">
        <v>15879991</v>
      </c>
      <c r="I45" s="537">
        <v>172</v>
      </c>
      <c r="J45" s="554">
        <f t="shared" si="1"/>
        <v>92326</v>
      </c>
      <c r="K45" s="396"/>
    </row>
    <row r="46" spans="1:11">
      <c r="A46" s="559" t="s">
        <v>17</v>
      </c>
      <c r="B46" s="538"/>
      <c r="C46" s="538">
        <f>SUM(C12:C45)</f>
        <v>21257</v>
      </c>
      <c r="D46" s="538">
        <f>SUM(D12:D45)</f>
        <v>2604491</v>
      </c>
      <c r="E46" s="538"/>
      <c r="F46" s="538">
        <f t="shared" ref="F46:H46" si="2">SUM(F12:F45)</f>
        <v>645913768</v>
      </c>
      <c r="G46" s="538">
        <f t="shared" si="2"/>
        <v>21027</v>
      </c>
      <c r="H46" s="538">
        <f t="shared" si="2"/>
        <v>414890092</v>
      </c>
      <c r="I46" s="537">
        <v>172</v>
      </c>
      <c r="J46" s="560">
        <f>SUM(J12:J45)</f>
        <v>2412156</v>
      </c>
    </row>
    <row r="47" spans="1:11">
      <c r="A47" s="11"/>
      <c r="B47" s="28"/>
      <c r="C47" s="28"/>
      <c r="D47" s="20"/>
      <c r="E47" s="20"/>
      <c r="F47" s="20"/>
      <c r="G47" s="20"/>
      <c r="H47" s="20"/>
      <c r="I47" s="20"/>
      <c r="J47" s="20"/>
    </row>
    <row r="48" spans="1:11">
      <c r="A48" s="927" t="s">
        <v>717</v>
      </c>
      <c r="B48" s="927"/>
      <c r="C48" s="927"/>
      <c r="D48" s="927"/>
      <c r="E48" s="927"/>
      <c r="F48" s="927"/>
      <c r="G48" s="927"/>
      <c r="H48" s="927"/>
      <c r="I48" s="20"/>
      <c r="J48" s="20"/>
    </row>
    <row r="49" spans="1:16">
      <c r="J49" s="787"/>
    </row>
    <row r="50" spans="1:16">
      <c r="A50" s="396"/>
      <c r="B50" s="396"/>
      <c r="C50" s="396"/>
      <c r="D50" s="396"/>
      <c r="E50" s="396"/>
      <c r="F50" s="396"/>
      <c r="G50" s="396"/>
      <c r="H50" s="396"/>
      <c r="I50" s="396"/>
      <c r="J50" s="396"/>
    </row>
    <row r="51" spans="1:16" ht="15.75">
      <c r="A51" s="396"/>
      <c r="B51" s="13"/>
      <c r="C51" s="13"/>
      <c r="D51" s="13"/>
      <c r="E51" s="13"/>
      <c r="F51" s="13"/>
      <c r="G51" s="804" t="s">
        <v>12</v>
      </c>
      <c r="H51" s="804"/>
      <c r="I51" s="804"/>
      <c r="J51" s="394"/>
    </row>
    <row r="52" spans="1:16" ht="15.75" customHeight="1">
      <c r="A52" s="803" t="s">
        <v>906</v>
      </c>
      <c r="B52" s="803"/>
      <c r="C52" s="803"/>
      <c r="D52" s="803"/>
      <c r="E52" s="375"/>
      <c r="F52" s="375"/>
      <c r="G52" s="804" t="s">
        <v>13</v>
      </c>
      <c r="H52" s="804"/>
      <c r="I52" s="804"/>
      <c r="J52" s="394"/>
    </row>
    <row r="53" spans="1:16" ht="15.75" customHeight="1">
      <c r="A53" s="804" t="s">
        <v>907</v>
      </c>
      <c r="B53" s="804"/>
      <c r="C53" s="804"/>
      <c r="D53" s="804"/>
      <c r="E53" s="375"/>
      <c r="F53" s="375"/>
      <c r="G53" s="804" t="s">
        <v>18</v>
      </c>
      <c r="H53" s="804"/>
      <c r="I53" s="804"/>
      <c r="J53" s="394"/>
    </row>
    <row r="54" spans="1:16" ht="12.75" customHeight="1">
      <c r="A54" s="804" t="s">
        <v>908</v>
      </c>
      <c r="B54" s="804"/>
      <c r="C54" s="804"/>
      <c r="D54" s="804"/>
      <c r="E54"/>
      <c r="F54"/>
      <c r="G54" s="14"/>
      <c r="H54" s="803" t="s">
        <v>84</v>
      </c>
      <c r="I54" s="803"/>
      <c r="J54" s="392"/>
    </row>
    <row r="55" spans="1:16">
      <c r="A55" s="395"/>
      <c r="B55" s="395"/>
      <c r="C55" s="395"/>
      <c r="D55" s="395"/>
      <c r="E55" s="395"/>
      <c r="F55" s="395"/>
      <c r="G55" s="396"/>
      <c r="H55" s="396"/>
      <c r="I55" s="396"/>
      <c r="J55" s="396"/>
    </row>
    <row r="56" spans="1:16" ht="15.75">
      <c r="A56" s="13" t="s">
        <v>11</v>
      </c>
      <c r="B56" s="396"/>
      <c r="C56" s="396"/>
      <c r="D56" s="396"/>
      <c r="E56" s="396"/>
      <c r="F56" s="396"/>
      <c r="G56" s="396"/>
      <c r="H56" s="396"/>
      <c r="I56" s="396"/>
      <c r="J56" s="396"/>
      <c r="K56" s="396"/>
      <c r="L56" s="396"/>
      <c r="M56" s="396"/>
      <c r="N56" s="396"/>
      <c r="O56" s="396"/>
      <c r="P56" s="396"/>
    </row>
    <row r="57" spans="1:16">
      <c r="A57" s="396"/>
      <c r="B57" s="396"/>
      <c r="C57" s="396"/>
      <c r="D57" s="396"/>
      <c r="E57" s="396"/>
      <c r="F57" s="396"/>
      <c r="G57" s="396"/>
      <c r="H57" s="396"/>
      <c r="I57" s="396"/>
      <c r="J57" s="396"/>
      <c r="K57" s="396"/>
      <c r="L57" s="396"/>
      <c r="M57" s="396"/>
      <c r="N57" s="396"/>
      <c r="O57" s="396"/>
      <c r="P57" s="396"/>
    </row>
    <row r="61" spans="1:16">
      <c r="D61" s="490"/>
      <c r="F61" s="490"/>
      <c r="G61" s="490"/>
    </row>
  </sheetData>
  <mergeCells count="18">
    <mergeCell ref="A54:D54"/>
    <mergeCell ref="G51:I51"/>
    <mergeCell ref="G52:I52"/>
    <mergeCell ref="G53:I53"/>
    <mergeCell ref="H54:I54"/>
    <mergeCell ref="A52:D52"/>
    <mergeCell ref="A53:D53"/>
    <mergeCell ref="A48:H48"/>
    <mergeCell ref="E1:I1"/>
    <mergeCell ref="A2:J2"/>
    <mergeCell ref="A3:J3"/>
    <mergeCell ref="G9:J9"/>
    <mergeCell ref="C9:F9"/>
    <mergeCell ref="H8:J8"/>
    <mergeCell ref="A5:J5"/>
    <mergeCell ref="A9:A10"/>
    <mergeCell ref="B9:B10"/>
    <mergeCell ref="A8:B8"/>
  </mergeCells>
  <phoneticPr fontId="0" type="noConversion"/>
  <printOptions horizontalCentered="1"/>
  <pageMargins left="0.70866141732283472" right="0.70866141732283472" top="0.23622047244094491" bottom="0" header="0.31496062992125984" footer="0.31496062992125984"/>
  <pageSetup paperSize="9" scale="73" orientation="landscape"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O62"/>
  <sheetViews>
    <sheetView topLeftCell="A26" zoomScaleSheetLayoutView="90" workbookViewId="0">
      <selection activeCell="C30" sqref="C30:J30"/>
    </sheetView>
  </sheetViews>
  <sheetFormatPr defaultRowHeight="12.75"/>
  <cols>
    <col min="1" max="1" width="7.42578125" style="15" customWidth="1"/>
    <col min="2" max="2" width="19.42578125" style="15" customWidth="1"/>
    <col min="3" max="3" width="11" style="15" customWidth="1"/>
    <col min="4" max="4" width="10" style="15" customWidth="1"/>
    <col min="5" max="5" width="14.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1" width="10" style="15" bestFit="1" customWidth="1"/>
    <col min="12" max="16384" width="9.140625" style="15"/>
  </cols>
  <sheetData>
    <row r="1" spans="1:15" customFormat="1">
      <c r="E1" s="803"/>
      <c r="F1" s="803"/>
      <c r="G1" s="803"/>
      <c r="H1" s="803"/>
      <c r="I1" s="803"/>
      <c r="J1" s="138" t="s">
        <v>361</v>
      </c>
    </row>
    <row r="2" spans="1:15" customFormat="1" ht="15">
      <c r="A2" s="920" t="s">
        <v>0</v>
      </c>
      <c r="B2" s="920"/>
      <c r="C2" s="920"/>
      <c r="D2" s="920"/>
      <c r="E2" s="920"/>
      <c r="F2" s="920"/>
      <c r="G2" s="920"/>
      <c r="H2" s="920"/>
      <c r="I2" s="920"/>
      <c r="J2" s="920"/>
    </row>
    <row r="3" spans="1:15" customFormat="1" ht="20.25">
      <c r="A3" s="848" t="s">
        <v>745</v>
      </c>
      <c r="B3" s="848"/>
      <c r="C3" s="848"/>
      <c r="D3" s="848"/>
      <c r="E3" s="848"/>
      <c r="F3" s="848"/>
      <c r="G3" s="848"/>
      <c r="H3" s="848"/>
      <c r="I3" s="848"/>
      <c r="J3" s="848"/>
    </row>
    <row r="4" spans="1:15" customFormat="1" ht="14.25" customHeight="1"/>
    <row r="5" spans="1:15" ht="15.75">
      <c r="A5" s="925" t="s">
        <v>805</v>
      </c>
      <c r="B5" s="925"/>
      <c r="C5" s="925"/>
      <c r="D5" s="925"/>
      <c r="E5" s="925"/>
      <c r="F5" s="925"/>
      <c r="G5" s="925"/>
      <c r="H5" s="925"/>
      <c r="I5" s="925"/>
      <c r="J5" s="925"/>
    </row>
    <row r="6" spans="1:15" ht="13.5" customHeight="1">
      <c r="A6" s="1"/>
      <c r="B6" s="1"/>
      <c r="C6" s="1"/>
      <c r="D6" s="1"/>
      <c r="E6" s="1"/>
      <c r="F6" s="1"/>
      <c r="G6" s="1"/>
      <c r="H6" s="1"/>
      <c r="I6" s="1"/>
      <c r="J6" s="1"/>
    </row>
    <row r="7" spans="1:15" ht="0.75" customHeight="1"/>
    <row r="8" spans="1:15">
      <c r="A8" s="850" t="s">
        <v>948</v>
      </c>
      <c r="B8" s="850"/>
      <c r="C8" s="29"/>
      <c r="H8" s="914" t="s">
        <v>831</v>
      </c>
      <c r="I8" s="914"/>
      <c r="J8" s="914"/>
    </row>
    <row r="9" spans="1:15">
      <c r="A9" s="834" t="s">
        <v>2</v>
      </c>
      <c r="B9" s="834" t="s">
        <v>3</v>
      </c>
      <c r="C9" s="815" t="s">
        <v>804</v>
      </c>
      <c r="D9" s="866"/>
      <c r="E9" s="866"/>
      <c r="F9" s="816"/>
      <c r="G9" s="815" t="s">
        <v>105</v>
      </c>
      <c r="H9" s="866"/>
      <c r="I9" s="866"/>
      <c r="J9" s="816"/>
      <c r="N9" s="18"/>
      <c r="O9" s="20"/>
    </row>
    <row r="10" spans="1:15" ht="63.75">
      <c r="A10" s="834"/>
      <c r="B10" s="834"/>
      <c r="C10" s="5" t="s">
        <v>183</v>
      </c>
      <c r="D10" s="5" t="s">
        <v>15</v>
      </c>
      <c r="E10" s="756" t="s">
        <v>1192</v>
      </c>
      <c r="F10" s="7" t="s">
        <v>200</v>
      </c>
      <c r="G10" s="5" t="s">
        <v>183</v>
      </c>
      <c r="H10" s="24" t="s">
        <v>16</v>
      </c>
      <c r="I10" s="104" t="s">
        <v>715</v>
      </c>
      <c r="J10" s="5" t="s">
        <v>716</v>
      </c>
    </row>
    <row r="11" spans="1:15">
      <c r="A11" s="5">
        <v>1</v>
      </c>
      <c r="B11" s="5">
        <v>2</v>
      </c>
      <c r="C11" s="5">
        <v>3</v>
      </c>
      <c r="D11" s="5">
        <v>4</v>
      </c>
      <c r="E11" s="5">
        <v>5</v>
      </c>
      <c r="F11" s="7">
        <v>6</v>
      </c>
      <c r="G11" s="5">
        <v>7</v>
      </c>
      <c r="H11" s="102">
        <v>8</v>
      </c>
      <c r="I11" s="5">
        <v>9</v>
      </c>
      <c r="J11" s="5">
        <v>10</v>
      </c>
    </row>
    <row r="12" spans="1:15">
      <c r="A12" s="539">
        <v>1</v>
      </c>
      <c r="B12" s="537" t="s">
        <v>912</v>
      </c>
      <c r="C12" s="537">
        <v>601</v>
      </c>
      <c r="D12" s="537">
        <v>32364</v>
      </c>
      <c r="E12" s="537">
        <v>248</v>
      </c>
      <c r="F12" s="553">
        <f>D12*E12</f>
        <v>8026272</v>
      </c>
      <c r="G12" s="537">
        <f>'AT-3'!D9+'AT-3'!E9</f>
        <v>594</v>
      </c>
      <c r="H12" s="554">
        <f>'enrolment vs availed_UPY'!M11+'enrolment vs availed_UPY'!N11+'enrolment vs availed_UPY'!P11</f>
        <v>5989323</v>
      </c>
      <c r="I12" s="537">
        <v>172</v>
      </c>
      <c r="J12" s="554">
        <f>ROUND(H12/I12,0)</f>
        <v>34822</v>
      </c>
    </row>
    <row r="13" spans="1:15">
      <c r="A13" s="539">
        <v>2</v>
      </c>
      <c r="B13" s="537" t="s">
        <v>913</v>
      </c>
      <c r="C13" s="537">
        <v>882</v>
      </c>
      <c r="D13" s="537">
        <v>47450</v>
      </c>
      <c r="E13" s="537">
        <v>248</v>
      </c>
      <c r="F13" s="553">
        <f t="shared" ref="F13:F45" si="0">D13*E13</f>
        <v>11767600</v>
      </c>
      <c r="G13" s="537">
        <f>'AT-3'!D10+'AT-3'!E10</f>
        <v>875</v>
      </c>
      <c r="H13" s="554">
        <f>'enrolment vs availed_UPY'!M12+'enrolment vs availed_UPY'!N12+'enrolment vs availed_UPY'!P12</f>
        <v>9066911</v>
      </c>
      <c r="I13" s="537">
        <v>172</v>
      </c>
      <c r="J13" s="554">
        <f t="shared" ref="J13:J45" si="1">ROUND(H13/I13,0)</f>
        <v>52715</v>
      </c>
      <c r="K13" s="533"/>
      <c r="L13" s="533"/>
    </row>
    <row r="14" spans="1:15">
      <c r="A14" s="539">
        <v>3</v>
      </c>
      <c r="B14" s="537" t="s">
        <v>914</v>
      </c>
      <c r="C14" s="537">
        <v>1218</v>
      </c>
      <c r="D14" s="537">
        <v>57368</v>
      </c>
      <c r="E14" s="537">
        <v>248</v>
      </c>
      <c r="F14" s="553">
        <f t="shared" si="0"/>
        <v>14227264</v>
      </c>
      <c r="G14" s="537">
        <f>'AT-3'!D11+'AT-3'!E11</f>
        <v>1219</v>
      </c>
      <c r="H14" s="554">
        <f>'enrolment vs availed_UPY'!M13+'enrolment vs availed_UPY'!N13+'enrolment vs availed_UPY'!P13</f>
        <v>8732169</v>
      </c>
      <c r="I14" s="537">
        <v>172</v>
      </c>
      <c r="J14" s="554">
        <f t="shared" si="1"/>
        <v>50768</v>
      </c>
      <c r="K14" s="533"/>
      <c r="L14" s="533"/>
    </row>
    <row r="15" spans="1:15" s="499" customFormat="1">
      <c r="A15" s="555">
        <v>4</v>
      </c>
      <c r="B15" s="556" t="s">
        <v>915</v>
      </c>
      <c r="C15" s="556">
        <v>1055</v>
      </c>
      <c r="D15" s="556">
        <v>43340</v>
      </c>
      <c r="E15" s="537">
        <v>248</v>
      </c>
      <c r="F15" s="557">
        <f t="shared" si="0"/>
        <v>10748320</v>
      </c>
      <c r="G15" s="537">
        <f>'AT-3'!D12+'AT-3'!E12</f>
        <v>1025</v>
      </c>
      <c r="H15" s="554">
        <f>'enrolment vs availed_UPY'!M14+'enrolment vs availed_UPY'!N14+'enrolment vs availed_UPY'!P14</f>
        <v>7017156</v>
      </c>
      <c r="I15" s="537">
        <v>172</v>
      </c>
      <c r="J15" s="558">
        <f t="shared" si="1"/>
        <v>40797</v>
      </c>
      <c r="K15" s="533"/>
      <c r="L15" s="533"/>
    </row>
    <row r="16" spans="1:15">
      <c r="A16" s="539">
        <v>5</v>
      </c>
      <c r="B16" s="537" t="s">
        <v>916</v>
      </c>
      <c r="C16" s="537">
        <v>1346</v>
      </c>
      <c r="D16" s="537">
        <v>44080</v>
      </c>
      <c r="E16" s="537">
        <v>248</v>
      </c>
      <c r="F16" s="553">
        <f t="shared" si="0"/>
        <v>10931840</v>
      </c>
      <c r="G16" s="537">
        <f>'AT-3'!D13+'AT-3'!E13</f>
        <v>1344</v>
      </c>
      <c r="H16" s="554">
        <f>'enrolment vs availed_UPY'!M15+'enrolment vs availed_UPY'!N15+'enrolment vs availed_UPY'!P15</f>
        <v>6969300</v>
      </c>
      <c r="I16" s="537">
        <v>172</v>
      </c>
      <c r="J16" s="554">
        <f t="shared" si="1"/>
        <v>40519</v>
      </c>
      <c r="K16" s="533"/>
      <c r="L16" s="533"/>
    </row>
    <row r="17" spans="1:12" ht="12" customHeight="1">
      <c r="A17" s="539">
        <v>6</v>
      </c>
      <c r="B17" s="537" t="s">
        <v>917</v>
      </c>
      <c r="C17" s="537">
        <v>560</v>
      </c>
      <c r="D17" s="537">
        <v>20928</v>
      </c>
      <c r="E17" s="537">
        <v>248</v>
      </c>
      <c r="F17" s="553">
        <f t="shared" si="0"/>
        <v>5190144</v>
      </c>
      <c r="G17" s="537">
        <f>'AT-3'!D14+'AT-3'!E14</f>
        <v>562</v>
      </c>
      <c r="H17" s="554">
        <f>'enrolment vs availed_UPY'!M16+'enrolment vs availed_UPY'!N16+'enrolment vs availed_UPY'!P16</f>
        <v>3697919</v>
      </c>
      <c r="I17" s="537">
        <v>172</v>
      </c>
      <c r="J17" s="554">
        <f t="shared" si="1"/>
        <v>21500</v>
      </c>
      <c r="K17" s="533"/>
      <c r="L17" s="533"/>
    </row>
    <row r="18" spans="1:12" s="396" customFormat="1" ht="12" customHeight="1">
      <c r="A18" s="539">
        <v>7</v>
      </c>
      <c r="B18" s="537" t="s">
        <v>918</v>
      </c>
      <c r="C18" s="537">
        <v>656</v>
      </c>
      <c r="D18" s="537">
        <v>22998</v>
      </c>
      <c r="E18" s="537">
        <v>248</v>
      </c>
      <c r="F18" s="553">
        <f t="shared" si="0"/>
        <v>5703504</v>
      </c>
      <c r="G18" s="537">
        <f>'AT-3'!D15+'AT-3'!E15</f>
        <v>655</v>
      </c>
      <c r="H18" s="554">
        <f>'enrolment vs availed_UPY'!M17+'enrolment vs availed_UPY'!N17+'enrolment vs availed_UPY'!P17</f>
        <v>3325442</v>
      </c>
      <c r="I18" s="537">
        <v>172</v>
      </c>
      <c r="J18" s="554">
        <f t="shared" si="1"/>
        <v>19334</v>
      </c>
      <c r="K18" s="533"/>
      <c r="L18" s="533"/>
    </row>
    <row r="19" spans="1:12" s="396" customFormat="1" ht="12" customHeight="1">
      <c r="A19" s="539">
        <v>8</v>
      </c>
      <c r="B19" s="537" t="s">
        <v>919</v>
      </c>
      <c r="C19" s="537">
        <v>844</v>
      </c>
      <c r="D19" s="537">
        <v>33974</v>
      </c>
      <c r="E19" s="537">
        <v>248</v>
      </c>
      <c r="F19" s="553">
        <f t="shared" si="0"/>
        <v>8425552</v>
      </c>
      <c r="G19" s="537">
        <f>'AT-3'!D16+'AT-3'!E16</f>
        <v>845</v>
      </c>
      <c r="H19" s="554">
        <f>'enrolment vs availed_UPY'!M18+'enrolment vs availed_UPY'!N18+'enrolment vs availed_UPY'!P18</f>
        <v>5832434</v>
      </c>
      <c r="I19" s="537">
        <v>172</v>
      </c>
      <c r="J19" s="554">
        <f t="shared" si="1"/>
        <v>33910</v>
      </c>
      <c r="K19" s="533"/>
      <c r="L19" s="533"/>
    </row>
    <row r="20" spans="1:12" s="396" customFormat="1" ht="12" customHeight="1">
      <c r="A20" s="539">
        <v>9</v>
      </c>
      <c r="B20" s="537" t="s">
        <v>920</v>
      </c>
      <c r="C20" s="537">
        <v>731</v>
      </c>
      <c r="D20" s="537">
        <v>29133</v>
      </c>
      <c r="E20" s="537">
        <v>248</v>
      </c>
      <c r="F20" s="553">
        <f t="shared" si="0"/>
        <v>7224984</v>
      </c>
      <c r="G20" s="537">
        <f>'AT-3'!D17+'AT-3'!E17</f>
        <v>725</v>
      </c>
      <c r="H20" s="554">
        <f>'enrolment vs availed_UPY'!M19+'enrolment vs availed_UPY'!N19+'enrolment vs availed_UPY'!P19</f>
        <v>4832362</v>
      </c>
      <c r="I20" s="537">
        <v>172</v>
      </c>
      <c r="J20" s="554">
        <f t="shared" si="1"/>
        <v>28095</v>
      </c>
      <c r="K20" s="533"/>
      <c r="L20" s="533"/>
    </row>
    <row r="21" spans="1:12" s="396" customFormat="1" ht="12" customHeight="1">
      <c r="A21" s="539">
        <v>10</v>
      </c>
      <c r="B21" s="537" t="s">
        <v>921</v>
      </c>
      <c r="C21" s="537">
        <v>1135</v>
      </c>
      <c r="D21" s="537">
        <v>44880</v>
      </c>
      <c r="E21" s="537">
        <v>248</v>
      </c>
      <c r="F21" s="553">
        <f t="shared" si="0"/>
        <v>11130240</v>
      </c>
      <c r="G21" s="537">
        <f>'AT-3'!D18+'AT-3'!E18</f>
        <v>1130</v>
      </c>
      <c r="H21" s="554">
        <f>'enrolment vs availed_UPY'!M20+'enrolment vs availed_UPY'!N20+'enrolment vs availed_UPY'!P20</f>
        <v>7062831</v>
      </c>
      <c r="I21" s="537">
        <v>172</v>
      </c>
      <c r="J21" s="554">
        <f t="shared" si="1"/>
        <v>41063</v>
      </c>
      <c r="K21" s="533"/>
      <c r="L21" s="533"/>
    </row>
    <row r="22" spans="1:12" s="396" customFormat="1" ht="12" customHeight="1">
      <c r="A22" s="539">
        <v>11</v>
      </c>
      <c r="B22" s="537" t="s">
        <v>922</v>
      </c>
      <c r="C22" s="537">
        <v>740</v>
      </c>
      <c r="D22" s="537">
        <v>25471</v>
      </c>
      <c r="E22" s="537">
        <v>248</v>
      </c>
      <c r="F22" s="553">
        <f t="shared" si="0"/>
        <v>6316808</v>
      </c>
      <c r="G22" s="537">
        <f>'AT-3'!D19+'AT-3'!E19</f>
        <v>747</v>
      </c>
      <c r="H22" s="554">
        <f>'enrolment vs availed_UPY'!M21+'enrolment vs availed_UPY'!N21+'enrolment vs availed_UPY'!P21</f>
        <v>4339514</v>
      </c>
      <c r="I22" s="537">
        <v>172</v>
      </c>
      <c r="J22" s="554">
        <f t="shared" si="1"/>
        <v>25230</v>
      </c>
      <c r="K22" s="533"/>
      <c r="L22" s="533"/>
    </row>
    <row r="23" spans="1:12" s="396" customFormat="1" ht="12" customHeight="1">
      <c r="A23" s="539">
        <v>12</v>
      </c>
      <c r="B23" s="537" t="s">
        <v>923</v>
      </c>
      <c r="C23" s="537">
        <v>1432</v>
      </c>
      <c r="D23" s="537">
        <v>70178</v>
      </c>
      <c r="E23" s="537">
        <v>248</v>
      </c>
      <c r="F23" s="553">
        <f t="shared" si="0"/>
        <v>17404144</v>
      </c>
      <c r="G23" s="537">
        <f>'AT-3'!D20+'AT-3'!E20</f>
        <v>1433</v>
      </c>
      <c r="H23" s="554">
        <f>'enrolment vs availed_UPY'!M22+'enrolment vs availed_UPY'!N22+'enrolment vs availed_UPY'!P22</f>
        <v>11130543</v>
      </c>
      <c r="I23" s="537">
        <v>172</v>
      </c>
      <c r="J23" s="554">
        <f t="shared" si="1"/>
        <v>64712</v>
      </c>
      <c r="K23" s="533"/>
      <c r="L23" s="533"/>
    </row>
    <row r="24" spans="1:12" s="396" customFormat="1" ht="12" customHeight="1">
      <c r="A24" s="539">
        <v>13</v>
      </c>
      <c r="B24" s="537" t="s">
        <v>924</v>
      </c>
      <c r="C24" s="537">
        <v>1183</v>
      </c>
      <c r="D24" s="537">
        <v>34632</v>
      </c>
      <c r="E24" s="537">
        <v>248</v>
      </c>
      <c r="F24" s="553">
        <f t="shared" si="0"/>
        <v>8588736</v>
      </c>
      <c r="G24" s="537">
        <f>'AT-3'!D21+'AT-3'!E21</f>
        <v>1186</v>
      </c>
      <c r="H24" s="554">
        <f>'enrolment vs availed_UPY'!M23+'enrolment vs availed_UPY'!N23+'enrolment vs availed_UPY'!P23</f>
        <v>5604332</v>
      </c>
      <c r="I24" s="537">
        <v>172</v>
      </c>
      <c r="J24" s="554">
        <f t="shared" si="1"/>
        <v>32583</v>
      </c>
      <c r="K24" s="533"/>
      <c r="L24" s="533"/>
    </row>
    <row r="25" spans="1:12" s="396" customFormat="1" ht="12" customHeight="1">
      <c r="A25" s="539">
        <v>14</v>
      </c>
      <c r="B25" s="537" t="s">
        <v>925</v>
      </c>
      <c r="C25" s="537">
        <v>589</v>
      </c>
      <c r="D25" s="537">
        <v>24833</v>
      </c>
      <c r="E25" s="537">
        <v>248</v>
      </c>
      <c r="F25" s="553">
        <f t="shared" si="0"/>
        <v>6158584</v>
      </c>
      <c r="G25" s="537">
        <f>'AT-3'!D22+'AT-3'!E22</f>
        <v>585</v>
      </c>
      <c r="H25" s="554">
        <f>'enrolment vs availed_UPY'!M24+'enrolment vs availed_UPY'!N24+'enrolment vs availed_UPY'!P24</f>
        <v>4009230</v>
      </c>
      <c r="I25" s="537">
        <v>172</v>
      </c>
      <c r="J25" s="554">
        <f t="shared" si="1"/>
        <v>23309</v>
      </c>
      <c r="K25" s="533"/>
      <c r="L25" s="533"/>
    </row>
    <row r="26" spans="1:12" s="396" customFormat="1" ht="12" customHeight="1">
      <c r="A26" s="539">
        <v>15</v>
      </c>
      <c r="B26" s="537" t="s">
        <v>926</v>
      </c>
      <c r="C26" s="537">
        <v>364</v>
      </c>
      <c r="D26" s="537">
        <v>9954</v>
      </c>
      <c r="E26" s="537">
        <v>248</v>
      </c>
      <c r="F26" s="553">
        <f t="shared" si="0"/>
        <v>2468592</v>
      </c>
      <c r="G26" s="537">
        <f>'AT-3'!D23+'AT-3'!E23</f>
        <v>361</v>
      </c>
      <c r="H26" s="554">
        <f>'enrolment vs availed_UPY'!M25+'enrolment vs availed_UPY'!N25+'enrolment vs availed_UPY'!P25</f>
        <v>1545041</v>
      </c>
      <c r="I26" s="537">
        <v>172</v>
      </c>
      <c r="J26" s="554">
        <f t="shared" si="1"/>
        <v>8983</v>
      </c>
      <c r="K26" s="533"/>
      <c r="L26" s="533"/>
    </row>
    <row r="27" spans="1:12" s="396" customFormat="1" ht="12" customHeight="1">
      <c r="A27" s="539">
        <v>16</v>
      </c>
      <c r="B27" s="537" t="s">
        <v>927</v>
      </c>
      <c r="C27" s="537">
        <v>1393</v>
      </c>
      <c r="D27" s="537">
        <v>37510</v>
      </c>
      <c r="E27" s="537">
        <v>248</v>
      </c>
      <c r="F27" s="553">
        <f t="shared" si="0"/>
        <v>9302480</v>
      </c>
      <c r="G27" s="537">
        <f>'AT-3'!D24+'AT-3'!E24</f>
        <v>1394</v>
      </c>
      <c r="H27" s="554">
        <f>'enrolment vs availed_UPY'!M26+'enrolment vs availed_UPY'!N26+'enrolment vs availed_UPY'!P26</f>
        <v>6298036</v>
      </c>
      <c r="I27" s="537">
        <v>172</v>
      </c>
      <c r="J27" s="554">
        <f t="shared" si="1"/>
        <v>36616</v>
      </c>
      <c r="K27" s="533"/>
      <c r="L27" s="533"/>
    </row>
    <row r="28" spans="1:12" s="396" customFormat="1" ht="12" customHeight="1">
      <c r="A28" s="539">
        <v>17</v>
      </c>
      <c r="B28" s="537" t="s">
        <v>928</v>
      </c>
      <c r="C28" s="537">
        <v>920</v>
      </c>
      <c r="D28" s="537">
        <v>24073</v>
      </c>
      <c r="E28" s="537">
        <v>248</v>
      </c>
      <c r="F28" s="553">
        <f t="shared" si="0"/>
        <v>5970104</v>
      </c>
      <c r="G28" s="537">
        <f>'AT-3'!D25+'AT-3'!E25</f>
        <v>908</v>
      </c>
      <c r="H28" s="554">
        <f>'enrolment vs availed_UPY'!M27+'enrolment vs availed_UPY'!N27+'enrolment vs availed_UPY'!P27</f>
        <v>3631533</v>
      </c>
      <c r="I28" s="537">
        <v>172</v>
      </c>
      <c r="J28" s="554">
        <f t="shared" si="1"/>
        <v>21114</v>
      </c>
      <c r="K28" s="533"/>
      <c r="L28" s="533"/>
    </row>
    <row r="29" spans="1:12" s="396" customFormat="1" ht="12" customHeight="1">
      <c r="A29" s="539">
        <v>18</v>
      </c>
      <c r="B29" s="537" t="s">
        <v>929</v>
      </c>
      <c r="C29" s="537">
        <v>1146</v>
      </c>
      <c r="D29" s="537">
        <v>43899</v>
      </c>
      <c r="E29" s="537">
        <v>248</v>
      </c>
      <c r="F29" s="553">
        <f t="shared" si="0"/>
        <v>10886952</v>
      </c>
      <c r="G29" s="537">
        <f>'AT-3'!D26+'AT-3'!E26</f>
        <v>1143</v>
      </c>
      <c r="H29" s="554">
        <f>'enrolment vs availed_UPY'!M28+'enrolment vs availed_UPY'!N28+'enrolment vs availed_UPY'!P28</f>
        <v>7018328</v>
      </c>
      <c r="I29" s="537">
        <v>172</v>
      </c>
      <c r="J29" s="554">
        <f t="shared" si="1"/>
        <v>40804</v>
      </c>
      <c r="K29" s="533"/>
      <c r="L29" s="533"/>
    </row>
    <row r="30" spans="1:12" s="396" customFormat="1" ht="12" customHeight="1">
      <c r="A30" s="539">
        <v>19</v>
      </c>
      <c r="B30" s="537" t="s">
        <v>930</v>
      </c>
      <c r="C30" s="537">
        <v>717</v>
      </c>
      <c r="D30" s="537">
        <v>24168</v>
      </c>
      <c r="E30" s="537">
        <v>248</v>
      </c>
      <c r="F30" s="553">
        <f t="shared" si="0"/>
        <v>5993664</v>
      </c>
      <c r="G30" s="537">
        <f>'AT-3'!D27+'AT-3'!E27</f>
        <v>706</v>
      </c>
      <c r="H30" s="554">
        <f>'enrolment vs availed_UPY'!M29+'enrolment vs availed_UPY'!N29+'enrolment vs availed_UPY'!P29</f>
        <v>3733711</v>
      </c>
      <c r="I30" s="537">
        <v>172</v>
      </c>
      <c r="J30" s="554">
        <f t="shared" si="1"/>
        <v>21708</v>
      </c>
      <c r="K30" s="533"/>
      <c r="L30" s="533"/>
    </row>
    <row r="31" spans="1:12" s="396" customFormat="1" ht="12" customHeight="1">
      <c r="A31" s="539">
        <v>20</v>
      </c>
      <c r="B31" s="537" t="s">
        <v>931</v>
      </c>
      <c r="C31" s="537">
        <v>850</v>
      </c>
      <c r="D31" s="537">
        <v>54474</v>
      </c>
      <c r="E31" s="537">
        <v>248</v>
      </c>
      <c r="F31" s="553">
        <f t="shared" si="0"/>
        <v>13509552</v>
      </c>
      <c r="G31" s="537">
        <f>'AT-3'!D28+'AT-3'!E28</f>
        <v>855</v>
      </c>
      <c r="H31" s="554">
        <f>'enrolment vs availed_UPY'!M30+'enrolment vs availed_UPY'!N30+'enrolment vs availed_UPY'!P30</f>
        <v>8430128</v>
      </c>
      <c r="I31" s="537">
        <v>172</v>
      </c>
      <c r="J31" s="554">
        <f t="shared" si="1"/>
        <v>49012</v>
      </c>
      <c r="K31" s="533"/>
      <c r="L31" s="533"/>
    </row>
    <row r="32" spans="1:12" s="396" customFormat="1" ht="12" customHeight="1">
      <c r="A32" s="539">
        <v>21</v>
      </c>
      <c r="B32" s="537" t="s">
        <v>932</v>
      </c>
      <c r="C32" s="537">
        <v>625</v>
      </c>
      <c r="D32" s="537">
        <v>18322</v>
      </c>
      <c r="E32" s="537">
        <v>248</v>
      </c>
      <c r="F32" s="553">
        <f t="shared" si="0"/>
        <v>4543856</v>
      </c>
      <c r="G32" s="537">
        <f>'AT-3'!D29+'AT-3'!E29</f>
        <v>624</v>
      </c>
      <c r="H32" s="554">
        <f>'enrolment vs availed_UPY'!M31+'enrolment vs availed_UPY'!N31+'enrolment vs availed_UPY'!P31</f>
        <v>2755080</v>
      </c>
      <c r="I32" s="537">
        <v>172</v>
      </c>
      <c r="J32" s="554">
        <f t="shared" si="1"/>
        <v>16018</v>
      </c>
      <c r="K32" s="533"/>
      <c r="L32" s="533"/>
    </row>
    <row r="33" spans="1:12" s="396" customFormat="1" ht="12" customHeight="1">
      <c r="A33" s="539">
        <v>22</v>
      </c>
      <c r="B33" s="537" t="s">
        <v>933</v>
      </c>
      <c r="C33" s="537">
        <v>650</v>
      </c>
      <c r="D33" s="537">
        <v>26462</v>
      </c>
      <c r="E33" s="537">
        <v>248</v>
      </c>
      <c r="F33" s="553">
        <f t="shared" si="0"/>
        <v>6562576</v>
      </c>
      <c r="G33" s="537">
        <f>'AT-3'!D30+'AT-3'!E30</f>
        <v>648</v>
      </c>
      <c r="H33" s="554">
        <f>'enrolment vs availed_UPY'!M32+'enrolment vs availed_UPY'!N32+'enrolment vs availed_UPY'!P32</f>
        <v>4293249</v>
      </c>
      <c r="I33" s="537">
        <v>172</v>
      </c>
      <c r="J33" s="554">
        <f t="shared" si="1"/>
        <v>24961</v>
      </c>
      <c r="K33" s="533"/>
      <c r="L33" s="533"/>
    </row>
    <row r="34" spans="1:12" s="396" customFormat="1" ht="12" customHeight="1">
      <c r="A34" s="539">
        <v>23</v>
      </c>
      <c r="B34" s="537" t="s">
        <v>934</v>
      </c>
      <c r="C34" s="537">
        <v>1058</v>
      </c>
      <c r="D34" s="537">
        <v>54181</v>
      </c>
      <c r="E34" s="537">
        <v>248</v>
      </c>
      <c r="F34" s="553">
        <f t="shared" si="0"/>
        <v>13436888</v>
      </c>
      <c r="G34" s="537">
        <f>'AT-3'!D31+'AT-3'!E31</f>
        <v>1065</v>
      </c>
      <c r="H34" s="554">
        <f>'enrolment vs availed_UPY'!M33+'enrolment vs availed_UPY'!N33+'enrolment vs availed_UPY'!P33</f>
        <v>9424776</v>
      </c>
      <c r="I34" s="537">
        <v>172</v>
      </c>
      <c r="J34" s="554">
        <f t="shared" si="1"/>
        <v>54795</v>
      </c>
      <c r="K34" s="533"/>
      <c r="L34" s="533"/>
    </row>
    <row r="35" spans="1:12" s="396" customFormat="1" ht="12" customHeight="1">
      <c r="A35" s="539">
        <v>24</v>
      </c>
      <c r="B35" s="537" t="s">
        <v>935</v>
      </c>
      <c r="C35" s="537">
        <v>659</v>
      </c>
      <c r="D35" s="537">
        <v>37769</v>
      </c>
      <c r="E35" s="537">
        <v>248</v>
      </c>
      <c r="F35" s="553">
        <f t="shared" si="0"/>
        <v>9366712</v>
      </c>
      <c r="G35" s="537">
        <f>'AT-3'!D32+'AT-3'!E32</f>
        <v>662</v>
      </c>
      <c r="H35" s="554">
        <f>'enrolment vs availed_UPY'!M34+'enrolment vs availed_UPY'!N34+'enrolment vs availed_UPY'!P34</f>
        <v>6061656</v>
      </c>
      <c r="I35" s="537">
        <v>172</v>
      </c>
      <c r="J35" s="554">
        <f t="shared" si="1"/>
        <v>35242</v>
      </c>
      <c r="K35" s="533"/>
      <c r="L35" s="533"/>
    </row>
    <row r="36" spans="1:12">
      <c r="A36" s="539">
        <v>25</v>
      </c>
      <c r="B36" s="537" t="s">
        <v>936</v>
      </c>
      <c r="C36" s="537">
        <v>1239</v>
      </c>
      <c r="D36" s="537">
        <v>75780</v>
      </c>
      <c r="E36" s="537">
        <v>248</v>
      </c>
      <c r="F36" s="553">
        <f t="shared" si="0"/>
        <v>18793440</v>
      </c>
      <c r="G36" s="537">
        <f>'AT-3'!D33+'AT-3'!E33</f>
        <v>1245</v>
      </c>
      <c r="H36" s="554">
        <f>'enrolment vs availed_UPY'!M35+'enrolment vs availed_UPY'!N35+'enrolment vs availed_UPY'!P35</f>
        <v>12132799</v>
      </c>
      <c r="I36" s="537">
        <v>172</v>
      </c>
      <c r="J36" s="554">
        <f t="shared" si="1"/>
        <v>70540</v>
      </c>
      <c r="K36" s="533"/>
      <c r="L36" s="533"/>
    </row>
    <row r="37" spans="1:12">
      <c r="A37" s="539">
        <v>26</v>
      </c>
      <c r="B37" s="537" t="s">
        <v>937</v>
      </c>
      <c r="C37" s="537">
        <v>1495</v>
      </c>
      <c r="D37" s="537">
        <v>101133</v>
      </c>
      <c r="E37" s="537">
        <v>248</v>
      </c>
      <c r="F37" s="553">
        <f t="shared" si="0"/>
        <v>25080984</v>
      </c>
      <c r="G37" s="537">
        <f>'AT-3'!D34+'AT-3'!E34</f>
        <v>1506</v>
      </c>
      <c r="H37" s="554">
        <f>'enrolment vs availed_UPY'!M36+'enrolment vs availed_UPY'!N36+'enrolment vs availed_UPY'!P36</f>
        <v>17883832</v>
      </c>
      <c r="I37" s="537">
        <v>172</v>
      </c>
      <c r="J37" s="554">
        <f t="shared" si="1"/>
        <v>103976</v>
      </c>
      <c r="K37" s="533"/>
      <c r="L37" s="533"/>
    </row>
    <row r="38" spans="1:12">
      <c r="A38" s="539">
        <v>27</v>
      </c>
      <c r="B38" s="537" t="s">
        <v>938</v>
      </c>
      <c r="C38" s="537">
        <v>1207</v>
      </c>
      <c r="D38" s="537">
        <v>80236</v>
      </c>
      <c r="E38" s="537">
        <v>248</v>
      </c>
      <c r="F38" s="553">
        <f t="shared" si="0"/>
        <v>19898528</v>
      </c>
      <c r="G38" s="537">
        <f>'AT-3'!D35+'AT-3'!E35</f>
        <v>1211</v>
      </c>
      <c r="H38" s="554">
        <f>'enrolment vs availed_UPY'!M37+'enrolment vs availed_UPY'!N37+'enrolment vs availed_UPY'!P37</f>
        <v>13647383</v>
      </c>
      <c r="I38" s="537">
        <v>172</v>
      </c>
      <c r="J38" s="554">
        <f t="shared" si="1"/>
        <v>79345</v>
      </c>
      <c r="K38" s="533"/>
      <c r="L38" s="533"/>
    </row>
    <row r="39" spans="1:12">
      <c r="A39" s="539">
        <v>28</v>
      </c>
      <c r="B39" s="537" t="s">
        <v>939</v>
      </c>
      <c r="C39" s="537">
        <v>1457</v>
      </c>
      <c r="D39" s="537">
        <v>84222</v>
      </c>
      <c r="E39" s="537">
        <v>248</v>
      </c>
      <c r="F39" s="553">
        <f t="shared" si="0"/>
        <v>20887056</v>
      </c>
      <c r="G39" s="537">
        <f>'AT-3'!D36+'AT-3'!E36</f>
        <v>1468</v>
      </c>
      <c r="H39" s="554">
        <f>'enrolment vs availed_UPY'!M38+'enrolment vs availed_UPY'!N38+'enrolment vs availed_UPY'!P38</f>
        <v>17260897</v>
      </c>
      <c r="I39" s="537">
        <v>172</v>
      </c>
      <c r="J39" s="554">
        <f t="shared" si="1"/>
        <v>100354</v>
      </c>
      <c r="K39" s="533"/>
      <c r="L39" s="533"/>
    </row>
    <row r="40" spans="1:12" ht="12" customHeight="1">
      <c r="A40" s="539">
        <v>29</v>
      </c>
      <c r="B40" s="537" t="s">
        <v>940</v>
      </c>
      <c r="C40" s="537">
        <v>1229</v>
      </c>
      <c r="D40" s="537">
        <v>56624</v>
      </c>
      <c r="E40" s="537">
        <v>248</v>
      </c>
      <c r="F40" s="553">
        <f t="shared" si="0"/>
        <v>14042752</v>
      </c>
      <c r="G40" s="537">
        <f>'AT-3'!D37+'AT-3'!E37</f>
        <v>1234</v>
      </c>
      <c r="H40" s="554">
        <f>'enrolment vs availed_UPY'!M39+'enrolment vs availed_UPY'!N39+'enrolment vs availed_UPY'!P39</f>
        <v>8642274</v>
      </c>
      <c r="I40" s="537">
        <v>172</v>
      </c>
      <c r="J40" s="554">
        <f t="shared" si="1"/>
        <v>50246</v>
      </c>
      <c r="K40" s="533"/>
      <c r="L40" s="533"/>
    </row>
    <row r="41" spans="1:12" s="499" customFormat="1">
      <c r="A41" s="555">
        <v>30</v>
      </c>
      <c r="B41" s="556" t="s">
        <v>941</v>
      </c>
      <c r="C41" s="556">
        <v>1328</v>
      </c>
      <c r="D41" s="556">
        <v>96512</v>
      </c>
      <c r="E41" s="537">
        <v>248</v>
      </c>
      <c r="F41" s="557">
        <f t="shared" si="0"/>
        <v>23934976</v>
      </c>
      <c r="G41" s="537">
        <f>'AT-3'!D38+'AT-3'!E38</f>
        <v>1357</v>
      </c>
      <c r="H41" s="554">
        <f>'enrolment vs availed_UPY'!M40+'enrolment vs availed_UPY'!N40+'enrolment vs availed_UPY'!P40</f>
        <v>16752183</v>
      </c>
      <c r="I41" s="537">
        <v>172</v>
      </c>
      <c r="J41" s="558">
        <f t="shared" si="1"/>
        <v>97396</v>
      </c>
      <c r="K41" s="533"/>
      <c r="L41" s="533"/>
    </row>
    <row r="42" spans="1:12">
      <c r="A42" s="539">
        <v>31</v>
      </c>
      <c r="B42" s="537" t="s">
        <v>942</v>
      </c>
      <c r="C42" s="537">
        <v>1570</v>
      </c>
      <c r="D42" s="537">
        <v>84104</v>
      </c>
      <c r="E42" s="537">
        <v>248</v>
      </c>
      <c r="F42" s="553">
        <f t="shared" si="0"/>
        <v>20857792</v>
      </c>
      <c r="G42" s="537">
        <f>'AT-3'!D39+'AT-3'!E39</f>
        <v>1571</v>
      </c>
      <c r="H42" s="554">
        <f>'enrolment vs availed_UPY'!M41+'enrolment vs availed_UPY'!N41+'enrolment vs availed_UPY'!P41</f>
        <v>16095133</v>
      </c>
      <c r="I42" s="537">
        <v>172</v>
      </c>
      <c r="J42" s="554">
        <f t="shared" si="1"/>
        <v>93576</v>
      </c>
      <c r="K42" s="533"/>
      <c r="L42" s="533"/>
    </row>
    <row r="43" spans="1:12">
      <c r="A43" s="539">
        <v>32</v>
      </c>
      <c r="B43" s="537" t="s">
        <v>943</v>
      </c>
      <c r="C43" s="537">
        <v>769</v>
      </c>
      <c r="D43" s="537">
        <v>56986</v>
      </c>
      <c r="E43" s="537">
        <v>248</v>
      </c>
      <c r="F43" s="553">
        <f t="shared" si="0"/>
        <v>14132528</v>
      </c>
      <c r="G43" s="537">
        <f>'AT-3'!D40+'AT-3'!E40</f>
        <v>771</v>
      </c>
      <c r="H43" s="554">
        <f>'enrolment vs availed_UPY'!M42+'enrolment vs availed_UPY'!N42+'enrolment vs availed_UPY'!P42</f>
        <v>9473098</v>
      </c>
      <c r="I43" s="537">
        <v>172</v>
      </c>
      <c r="J43" s="554">
        <f t="shared" si="1"/>
        <v>55076</v>
      </c>
      <c r="K43" s="533"/>
      <c r="L43" s="533"/>
    </row>
    <row r="44" spans="1:12">
      <c r="A44" s="539">
        <v>33</v>
      </c>
      <c r="B44" s="537" t="s">
        <v>944</v>
      </c>
      <c r="C44" s="537">
        <v>1034</v>
      </c>
      <c r="D44" s="537">
        <v>73455</v>
      </c>
      <c r="E44" s="537">
        <v>248</v>
      </c>
      <c r="F44" s="553">
        <f t="shared" si="0"/>
        <v>18216840</v>
      </c>
      <c r="G44" s="537">
        <f>'AT-3'!D41+'AT-3'!E41</f>
        <v>1040</v>
      </c>
      <c r="H44" s="554">
        <f>'enrolment vs availed_UPY'!M43+'enrolment vs availed_UPY'!N43+'enrolment vs availed_UPY'!P43</f>
        <v>13691888</v>
      </c>
      <c r="I44" s="537">
        <v>172</v>
      </c>
      <c r="J44" s="554">
        <f t="shared" si="1"/>
        <v>79604</v>
      </c>
      <c r="K44" s="533"/>
      <c r="L44" s="533"/>
    </row>
    <row r="45" spans="1:12">
      <c r="A45" s="539">
        <v>34</v>
      </c>
      <c r="B45" s="537" t="s">
        <v>945</v>
      </c>
      <c r="C45" s="537">
        <v>637</v>
      </c>
      <c r="D45" s="537">
        <v>49241</v>
      </c>
      <c r="E45" s="537">
        <v>248</v>
      </c>
      <c r="F45" s="553">
        <f t="shared" si="0"/>
        <v>12211768</v>
      </c>
      <c r="G45" s="537">
        <f>'AT-3'!D42+'AT-3'!E42</f>
        <v>640</v>
      </c>
      <c r="H45" s="554">
        <f>'enrolment vs availed_UPY'!M44+'enrolment vs availed_UPY'!N44+'enrolment vs availed_UPY'!P44</f>
        <v>8145223</v>
      </c>
      <c r="I45" s="537">
        <v>172</v>
      </c>
      <c r="J45" s="554">
        <f t="shared" si="1"/>
        <v>47356</v>
      </c>
      <c r="K45" s="533"/>
      <c r="L45" s="533"/>
    </row>
    <row r="46" spans="1:12">
      <c r="A46" s="559" t="s">
        <v>17</v>
      </c>
      <c r="B46" s="538"/>
      <c r="C46" s="538">
        <f>SUM(C12:C45)</f>
        <v>33319</v>
      </c>
      <c r="D46" s="538">
        <f>SUM(D12:D45)</f>
        <v>1620734</v>
      </c>
      <c r="E46" s="538"/>
      <c r="F46" s="538">
        <f t="shared" ref="F46:H46" si="2">SUM(F12:F45)</f>
        <v>401942032</v>
      </c>
      <c r="G46" s="538">
        <f t="shared" si="2"/>
        <v>33334</v>
      </c>
      <c r="H46" s="538">
        <f t="shared" si="2"/>
        <v>274525714</v>
      </c>
      <c r="I46" s="554"/>
      <c r="J46" s="554">
        <f>SUM(J12:J45)</f>
        <v>1596079</v>
      </c>
      <c r="K46" s="533"/>
    </row>
    <row r="47" spans="1:12">
      <c r="A47" s="11"/>
      <c r="B47" s="28"/>
      <c r="C47" s="28"/>
      <c r="D47" s="20"/>
      <c r="E47" s="20"/>
      <c r="F47" s="20"/>
      <c r="G47" s="20"/>
      <c r="H47" s="20"/>
      <c r="I47" s="20"/>
      <c r="J47" s="580"/>
    </row>
    <row r="48" spans="1:12">
      <c r="A48" s="927" t="s">
        <v>717</v>
      </c>
      <c r="B48" s="927"/>
      <c r="C48" s="927"/>
      <c r="D48" s="927"/>
      <c r="E48" s="927"/>
      <c r="F48" s="927"/>
      <c r="G48" s="927"/>
      <c r="H48" s="927"/>
      <c r="I48" s="20"/>
      <c r="J48" s="20"/>
    </row>
    <row r="50" spans="1:10" ht="15.75" customHeight="1"/>
    <row r="51" spans="1:10" ht="12.75" customHeight="1">
      <c r="A51" s="396"/>
      <c r="B51" s="13"/>
      <c r="C51" s="13"/>
      <c r="D51" s="13"/>
      <c r="E51" s="13"/>
      <c r="F51" s="13"/>
      <c r="G51" s="804" t="s">
        <v>12</v>
      </c>
      <c r="H51" s="804"/>
      <c r="I51" s="804"/>
      <c r="J51" s="394"/>
    </row>
    <row r="52" spans="1:10" ht="12.75" customHeight="1">
      <c r="A52" s="803" t="s">
        <v>906</v>
      </c>
      <c r="B52" s="803"/>
      <c r="C52" s="803"/>
      <c r="D52" s="803"/>
      <c r="E52" s="375"/>
      <c r="F52" s="375"/>
      <c r="G52" s="804" t="s">
        <v>13</v>
      </c>
      <c r="H52" s="804"/>
      <c r="I52" s="804"/>
      <c r="J52" s="394"/>
    </row>
    <row r="53" spans="1:10" ht="15.75">
      <c r="A53" s="804" t="s">
        <v>907</v>
      </c>
      <c r="B53" s="804"/>
      <c r="C53" s="804"/>
      <c r="D53" s="804"/>
      <c r="E53" s="375"/>
      <c r="F53" s="375"/>
      <c r="G53" s="804" t="s">
        <v>18</v>
      </c>
      <c r="H53" s="804"/>
      <c r="I53" s="804"/>
      <c r="J53" s="394"/>
    </row>
    <row r="54" spans="1:10">
      <c r="A54" s="804" t="s">
        <v>908</v>
      </c>
      <c r="B54" s="804"/>
      <c r="C54" s="804"/>
      <c r="D54" s="804"/>
      <c r="E54"/>
      <c r="F54"/>
      <c r="G54" s="14"/>
      <c r="H54" s="803" t="s">
        <v>84</v>
      </c>
      <c r="I54" s="803"/>
      <c r="J54" s="392"/>
    </row>
    <row r="55" spans="1:10">
      <c r="A55" s="395"/>
      <c r="B55" s="395"/>
      <c r="C55" s="395"/>
      <c r="D55" s="395"/>
      <c r="E55" s="395"/>
      <c r="F55" s="395"/>
      <c r="G55" s="396"/>
      <c r="H55" s="396"/>
      <c r="I55" s="396"/>
      <c r="J55" s="396"/>
    </row>
    <row r="56" spans="1:10" ht="15.75">
      <c r="A56" s="13" t="s">
        <v>11</v>
      </c>
      <c r="B56" s="396"/>
      <c r="C56" s="396"/>
      <c r="D56" s="396"/>
      <c r="E56" s="396"/>
      <c r="F56" s="396"/>
      <c r="G56" s="396"/>
      <c r="H56" s="396"/>
      <c r="I56" s="396"/>
      <c r="J56" s="396"/>
    </row>
    <row r="57" spans="1:10">
      <c r="A57" s="928"/>
      <c r="B57" s="928"/>
      <c r="C57" s="928"/>
      <c r="D57" s="928"/>
      <c r="E57" s="928"/>
      <c r="F57" s="928"/>
      <c r="G57" s="928"/>
      <c r="H57" s="928"/>
      <c r="I57" s="928"/>
      <c r="J57" s="928"/>
    </row>
    <row r="59" spans="1:10">
      <c r="A59" s="928"/>
      <c r="B59" s="928"/>
      <c r="C59" s="928"/>
      <c r="D59" s="928"/>
      <c r="E59" s="928"/>
      <c r="F59" s="928"/>
      <c r="G59" s="928"/>
      <c r="H59" s="928"/>
      <c r="I59" s="928"/>
      <c r="J59" s="928"/>
    </row>
    <row r="62" spans="1:10">
      <c r="D62" s="490"/>
      <c r="G62" s="490"/>
    </row>
  </sheetData>
  <mergeCells count="20">
    <mergeCell ref="E1:I1"/>
    <mergeCell ref="A2:J2"/>
    <mergeCell ref="A3:J3"/>
    <mergeCell ref="A5:J5"/>
    <mergeCell ref="A8:B8"/>
    <mergeCell ref="H8:J8"/>
    <mergeCell ref="A57:J57"/>
    <mergeCell ref="A59:J59"/>
    <mergeCell ref="A9:A10"/>
    <mergeCell ref="B9:B10"/>
    <mergeCell ref="C9:F9"/>
    <mergeCell ref="G9:J9"/>
    <mergeCell ref="A48:H48"/>
    <mergeCell ref="G51:I51"/>
    <mergeCell ref="A52:D52"/>
    <mergeCell ref="G52:I52"/>
    <mergeCell ref="A53:D53"/>
    <mergeCell ref="G53:I53"/>
    <mergeCell ref="A54:D54"/>
    <mergeCell ref="H54:I54"/>
  </mergeCells>
  <printOptions horizontalCentered="1"/>
  <pageMargins left="0.70866141732283472" right="0.70866141732283472" top="0.23622047244094491" bottom="0" header="0.31496062992125984" footer="0.31496062992125984"/>
  <pageSetup paperSize="9" scale="76" orientation="landscape"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P59"/>
  <sheetViews>
    <sheetView view="pageBreakPreview" topLeftCell="A10" zoomScale="90" zoomScaleSheetLayoutView="90" workbookViewId="0">
      <selection activeCell="C17" sqref="C17:J17"/>
    </sheetView>
  </sheetViews>
  <sheetFormatPr defaultRowHeight="12.75"/>
  <cols>
    <col min="1" max="1" width="7.42578125" style="15" customWidth="1"/>
    <col min="2" max="2" width="18.8554687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c r="E1" s="803"/>
      <c r="F1" s="803"/>
      <c r="G1" s="803"/>
      <c r="H1" s="803"/>
      <c r="I1" s="803"/>
      <c r="J1" s="138" t="s">
        <v>363</v>
      </c>
    </row>
    <row r="2" spans="1:16" customFormat="1" ht="15">
      <c r="A2" s="920" t="s">
        <v>0</v>
      </c>
      <c r="B2" s="920"/>
      <c r="C2" s="920"/>
      <c r="D2" s="920"/>
      <c r="E2" s="920"/>
      <c r="F2" s="920"/>
      <c r="G2" s="920"/>
      <c r="H2" s="920"/>
      <c r="I2" s="920"/>
      <c r="J2" s="920"/>
    </row>
    <row r="3" spans="1:16" customFormat="1" ht="20.25">
      <c r="A3" s="848" t="s">
        <v>745</v>
      </c>
      <c r="B3" s="848"/>
      <c r="C3" s="848"/>
      <c r="D3" s="848"/>
      <c r="E3" s="848"/>
      <c r="F3" s="848"/>
      <c r="G3" s="848"/>
      <c r="H3" s="848"/>
      <c r="I3" s="848"/>
      <c r="J3" s="848"/>
    </row>
    <row r="4" spans="1:16" customFormat="1" ht="14.25" customHeight="1"/>
    <row r="5" spans="1:16" ht="19.5" customHeight="1">
      <c r="A5" s="925" t="s">
        <v>806</v>
      </c>
      <c r="B5" s="925"/>
      <c r="C5" s="925"/>
      <c r="D5" s="925"/>
      <c r="E5" s="925"/>
      <c r="F5" s="925"/>
      <c r="G5" s="925"/>
      <c r="H5" s="925"/>
      <c r="I5" s="925"/>
      <c r="J5" s="925"/>
    </row>
    <row r="6" spans="1:16" ht="13.5" customHeight="1">
      <c r="A6" s="1"/>
      <c r="B6" s="1"/>
      <c r="C6" s="1"/>
      <c r="D6" s="1"/>
      <c r="E6" s="1"/>
      <c r="F6" s="1"/>
      <c r="G6" s="1"/>
      <c r="H6" s="1"/>
      <c r="I6" s="1"/>
      <c r="J6" s="1"/>
    </row>
    <row r="7" spans="1:16" ht="0.75" customHeight="1"/>
    <row r="8" spans="1:16">
      <c r="A8" s="850" t="s">
        <v>911</v>
      </c>
      <c r="B8" s="850"/>
      <c r="C8" s="29"/>
      <c r="H8" s="914" t="s">
        <v>831</v>
      </c>
      <c r="I8" s="914"/>
      <c r="J8" s="914"/>
    </row>
    <row r="9" spans="1:16">
      <c r="A9" s="834" t="s">
        <v>2</v>
      </c>
      <c r="B9" s="834" t="s">
        <v>3</v>
      </c>
      <c r="C9" s="815" t="s">
        <v>807</v>
      </c>
      <c r="D9" s="866"/>
      <c r="E9" s="866"/>
      <c r="F9" s="816"/>
      <c r="G9" s="815" t="s">
        <v>105</v>
      </c>
      <c r="H9" s="866"/>
      <c r="I9" s="866"/>
      <c r="J9" s="816"/>
      <c r="O9" s="18"/>
      <c r="P9" s="20"/>
    </row>
    <row r="10" spans="1:16" ht="77.45" customHeight="1">
      <c r="A10" s="834"/>
      <c r="B10" s="834"/>
      <c r="C10" s="5" t="s">
        <v>183</v>
      </c>
      <c r="D10" s="5" t="s">
        <v>15</v>
      </c>
      <c r="E10" s="253" t="s">
        <v>1192</v>
      </c>
      <c r="F10" s="7" t="s">
        <v>200</v>
      </c>
      <c r="G10" s="5" t="s">
        <v>183</v>
      </c>
      <c r="H10" s="24" t="s">
        <v>16</v>
      </c>
      <c r="I10" s="104" t="s">
        <v>715</v>
      </c>
      <c r="J10" s="5" t="s">
        <v>716</v>
      </c>
    </row>
    <row r="11" spans="1:16">
      <c r="A11" s="5">
        <v>1</v>
      </c>
      <c r="B11" s="5">
        <v>2</v>
      </c>
      <c r="C11" s="5">
        <v>3</v>
      </c>
      <c r="D11" s="5">
        <v>4</v>
      </c>
      <c r="E11" s="5">
        <v>5</v>
      </c>
      <c r="F11" s="7">
        <v>6</v>
      </c>
      <c r="G11" s="5">
        <v>7</v>
      </c>
      <c r="H11" s="102">
        <v>8</v>
      </c>
      <c r="I11" s="5">
        <v>9</v>
      </c>
      <c r="J11" s="5">
        <v>10</v>
      </c>
    </row>
    <row r="12" spans="1:16">
      <c r="A12" s="539">
        <v>1</v>
      </c>
      <c r="B12" s="537" t="s">
        <v>912</v>
      </c>
      <c r="C12" s="537">
        <v>0</v>
      </c>
      <c r="D12" s="537">
        <v>5</v>
      </c>
      <c r="E12" s="537">
        <v>313</v>
      </c>
      <c r="F12" s="553">
        <f>D12*E12</f>
        <v>1565</v>
      </c>
      <c r="G12" s="537">
        <v>0</v>
      </c>
      <c r="H12" s="554">
        <f>'enrolment vs availed_UPY'!O11</f>
        <v>0</v>
      </c>
      <c r="I12" s="537">
        <v>236</v>
      </c>
      <c r="J12" s="554">
        <f>ROUND(H12/I12,0)</f>
        <v>0</v>
      </c>
    </row>
    <row r="13" spans="1:16">
      <c r="A13" s="539">
        <v>2</v>
      </c>
      <c r="B13" s="537" t="s">
        <v>913</v>
      </c>
      <c r="C13" s="537">
        <v>0</v>
      </c>
      <c r="D13" s="537">
        <v>4</v>
      </c>
      <c r="E13" s="537">
        <v>313</v>
      </c>
      <c r="F13" s="553">
        <f t="shared" ref="F13:F45" si="0">D13*E13</f>
        <v>1252</v>
      </c>
      <c r="G13" s="537">
        <v>0</v>
      </c>
      <c r="H13" s="554">
        <f>'enrolment vs availed_UPY'!O12</f>
        <v>0</v>
      </c>
      <c r="I13" s="537">
        <v>236</v>
      </c>
      <c r="J13" s="554">
        <f t="shared" ref="J13:J45" si="1">ROUND(H13/I13,0)</f>
        <v>0</v>
      </c>
    </row>
    <row r="14" spans="1:16">
      <c r="A14" s="539">
        <v>3</v>
      </c>
      <c r="B14" s="537" t="s">
        <v>914</v>
      </c>
      <c r="C14" s="537">
        <v>0</v>
      </c>
      <c r="D14" s="537">
        <v>0</v>
      </c>
      <c r="E14" s="537">
        <v>313</v>
      </c>
      <c r="F14" s="553">
        <f t="shared" si="0"/>
        <v>0</v>
      </c>
      <c r="G14" s="537">
        <v>0</v>
      </c>
      <c r="H14" s="554">
        <f>'enrolment vs availed_UPY'!O13</f>
        <v>0</v>
      </c>
      <c r="I14" s="537">
        <v>236</v>
      </c>
      <c r="J14" s="554">
        <f t="shared" si="1"/>
        <v>0</v>
      </c>
    </row>
    <row r="15" spans="1:16">
      <c r="A15" s="539">
        <v>4</v>
      </c>
      <c r="B15" s="537" t="s">
        <v>915</v>
      </c>
      <c r="C15" s="537">
        <v>0</v>
      </c>
      <c r="D15" s="537">
        <v>0</v>
      </c>
      <c r="E15" s="537">
        <v>313</v>
      </c>
      <c r="F15" s="553">
        <f t="shared" si="0"/>
        <v>0</v>
      </c>
      <c r="G15" s="537">
        <v>0</v>
      </c>
      <c r="H15" s="554">
        <f>'enrolment vs availed_UPY'!O14</f>
        <v>0</v>
      </c>
      <c r="I15" s="537">
        <v>236</v>
      </c>
      <c r="J15" s="554">
        <f t="shared" si="1"/>
        <v>0</v>
      </c>
    </row>
    <row r="16" spans="1:16">
      <c r="A16" s="539">
        <v>5</v>
      </c>
      <c r="B16" s="537" t="s">
        <v>916</v>
      </c>
      <c r="C16" s="537">
        <v>0</v>
      </c>
      <c r="D16" s="537">
        <v>0</v>
      </c>
      <c r="E16" s="537">
        <v>313</v>
      </c>
      <c r="F16" s="553">
        <f t="shared" si="0"/>
        <v>0</v>
      </c>
      <c r="G16" s="537">
        <v>0</v>
      </c>
      <c r="H16" s="554">
        <f>'enrolment vs availed_UPY'!O15</f>
        <v>0</v>
      </c>
      <c r="I16" s="537">
        <v>236</v>
      </c>
      <c r="J16" s="554">
        <f t="shared" si="1"/>
        <v>0</v>
      </c>
    </row>
    <row r="17" spans="1:10">
      <c r="A17" s="539">
        <v>6</v>
      </c>
      <c r="B17" s="537" t="s">
        <v>917</v>
      </c>
      <c r="C17" s="537">
        <v>3</v>
      </c>
      <c r="D17" s="537">
        <v>22</v>
      </c>
      <c r="E17" s="537">
        <v>313</v>
      </c>
      <c r="F17" s="553">
        <f t="shared" si="0"/>
        <v>6886</v>
      </c>
      <c r="G17" s="537">
        <v>3</v>
      </c>
      <c r="H17" s="554">
        <f>'enrolment vs availed_UPY'!O16</f>
        <v>18216</v>
      </c>
      <c r="I17" s="537">
        <v>236</v>
      </c>
      <c r="J17" s="554">
        <f t="shared" si="1"/>
        <v>77</v>
      </c>
    </row>
    <row r="18" spans="1:10" s="396" customFormat="1">
      <c r="A18" s="539">
        <v>7</v>
      </c>
      <c r="B18" s="537" t="s">
        <v>918</v>
      </c>
      <c r="C18" s="537">
        <v>0</v>
      </c>
      <c r="D18" s="537">
        <v>0</v>
      </c>
      <c r="E18" s="537">
        <v>313</v>
      </c>
      <c r="F18" s="553">
        <f t="shared" si="0"/>
        <v>0</v>
      </c>
      <c r="G18" s="537">
        <v>0</v>
      </c>
      <c r="H18" s="554">
        <f>'enrolment vs availed_UPY'!O17</f>
        <v>0</v>
      </c>
      <c r="I18" s="537">
        <v>236</v>
      </c>
      <c r="J18" s="554">
        <f t="shared" si="1"/>
        <v>0</v>
      </c>
    </row>
    <row r="19" spans="1:10" s="396" customFormat="1">
      <c r="A19" s="539">
        <v>8</v>
      </c>
      <c r="B19" s="537" t="s">
        <v>919</v>
      </c>
      <c r="C19" s="537">
        <v>0</v>
      </c>
      <c r="D19" s="537">
        <v>0</v>
      </c>
      <c r="E19" s="537">
        <v>313</v>
      </c>
      <c r="F19" s="553">
        <f t="shared" si="0"/>
        <v>0</v>
      </c>
      <c r="G19" s="537">
        <v>0</v>
      </c>
      <c r="H19" s="554">
        <f>'enrolment vs availed_UPY'!O18</f>
        <v>0</v>
      </c>
      <c r="I19" s="537">
        <v>236</v>
      </c>
      <c r="J19" s="554">
        <f t="shared" si="1"/>
        <v>0</v>
      </c>
    </row>
    <row r="20" spans="1:10" s="396" customFormat="1">
      <c r="A20" s="539">
        <v>9</v>
      </c>
      <c r="B20" s="537" t="s">
        <v>920</v>
      </c>
      <c r="C20" s="537">
        <v>0</v>
      </c>
      <c r="D20" s="537">
        <v>0</v>
      </c>
      <c r="E20" s="537">
        <v>313</v>
      </c>
      <c r="F20" s="553">
        <f t="shared" si="0"/>
        <v>0</v>
      </c>
      <c r="G20" s="537">
        <v>0</v>
      </c>
      <c r="H20" s="554">
        <f>'enrolment vs availed_UPY'!O19</f>
        <v>0</v>
      </c>
      <c r="I20" s="537">
        <v>236</v>
      </c>
      <c r="J20" s="554">
        <f t="shared" si="1"/>
        <v>0</v>
      </c>
    </row>
    <row r="21" spans="1:10" s="396" customFormat="1">
      <c r="A21" s="539">
        <v>10</v>
      </c>
      <c r="B21" s="537" t="s">
        <v>921</v>
      </c>
      <c r="C21" s="537">
        <v>0</v>
      </c>
      <c r="D21" s="537">
        <v>0</v>
      </c>
      <c r="E21" s="537">
        <v>313</v>
      </c>
      <c r="F21" s="553">
        <f t="shared" si="0"/>
        <v>0</v>
      </c>
      <c r="G21" s="537">
        <v>0</v>
      </c>
      <c r="H21" s="554">
        <f>'enrolment vs availed_UPY'!O20</f>
        <v>0</v>
      </c>
      <c r="I21" s="537">
        <v>236</v>
      </c>
      <c r="J21" s="554">
        <f t="shared" si="1"/>
        <v>0</v>
      </c>
    </row>
    <row r="22" spans="1:10" s="396" customFormat="1" ht="13.5" customHeight="1">
      <c r="A22" s="539">
        <v>11</v>
      </c>
      <c r="B22" s="537" t="s">
        <v>922</v>
      </c>
      <c r="C22" s="537">
        <v>0</v>
      </c>
      <c r="D22" s="537">
        <v>0</v>
      </c>
      <c r="E22" s="537">
        <v>313</v>
      </c>
      <c r="F22" s="553">
        <f t="shared" si="0"/>
        <v>0</v>
      </c>
      <c r="G22" s="537">
        <v>0</v>
      </c>
      <c r="H22" s="554">
        <f>'enrolment vs availed_UPY'!O21</f>
        <v>0</v>
      </c>
      <c r="I22" s="537">
        <v>236</v>
      </c>
      <c r="J22" s="554">
        <f t="shared" si="1"/>
        <v>0</v>
      </c>
    </row>
    <row r="23" spans="1:10" s="396" customFormat="1">
      <c r="A23" s="539">
        <v>12</v>
      </c>
      <c r="B23" s="537" t="s">
        <v>923</v>
      </c>
      <c r="C23" s="537">
        <v>1</v>
      </c>
      <c r="D23" s="537">
        <v>8</v>
      </c>
      <c r="E23" s="537">
        <v>313</v>
      </c>
      <c r="F23" s="553">
        <f t="shared" si="0"/>
        <v>2504</v>
      </c>
      <c r="G23" s="537">
        <v>1</v>
      </c>
      <c r="H23" s="554">
        <f>'enrolment vs availed_UPY'!O22</f>
        <v>1678</v>
      </c>
      <c r="I23" s="537">
        <v>236</v>
      </c>
      <c r="J23" s="554">
        <f t="shared" si="1"/>
        <v>7</v>
      </c>
    </row>
    <row r="24" spans="1:10" s="396" customFormat="1">
      <c r="A24" s="539">
        <v>13</v>
      </c>
      <c r="B24" s="537" t="s">
        <v>924</v>
      </c>
      <c r="C24" s="537">
        <v>0</v>
      </c>
      <c r="D24" s="537">
        <v>0</v>
      </c>
      <c r="E24" s="537">
        <v>313</v>
      </c>
      <c r="F24" s="553">
        <f t="shared" si="0"/>
        <v>0</v>
      </c>
      <c r="G24" s="537">
        <v>0</v>
      </c>
      <c r="H24" s="554">
        <f>'enrolment vs availed_UPY'!O23</f>
        <v>0</v>
      </c>
      <c r="I24" s="537">
        <v>236</v>
      </c>
      <c r="J24" s="554">
        <f t="shared" si="1"/>
        <v>0</v>
      </c>
    </row>
    <row r="25" spans="1:10" s="396" customFormat="1">
      <c r="A25" s="539">
        <v>14</v>
      </c>
      <c r="B25" s="537" t="s">
        <v>925</v>
      </c>
      <c r="C25" s="537">
        <v>0</v>
      </c>
      <c r="D25" s="537">
        <v>10</v>
      </c>
      <c r="E25" s="537">
        <v>313</v>
      </c>
      <c r="F25" s="553">
        <f t="shared" si="0"/>
        <v>3130</v>
      </c>
      <c r="G25" s="537">
        <v>0</v>
      </c>
      <c r="H25" s="554">
        <f>'enrolment vs availed_UPY'!O24</f>
        <v>0</v>
      </c>
      <c r="I25" s="537">
        <v>236</v>
      </c>
      <c r="J25" s="554">
        <f t="shared" si="1"/>
        <v>0</v>
      </c>
    </row>
    <row r="26" spans="1:10" s="396" customFormat="1">
      <c r="A26" s="539">
        <v>15</v>
      </c>
      <c r="B26" s="537" t="s">
        <v>926</v>
      </c>
      <c r="C26" s="537">
        <v>0</v>
      </c>
      <c r="D26" s="537">
        <v>0</v>
      </c>
      <c r="E26" s="537">
        <v>313</v>
      </c>
      <c r="F26" s="553">
        <f t="shared" si="0"/>
        <v>0</v>
      </c>
      <c r="G26" s="537">
        <v>0</v>
      </c>
      <c r="H26" s="554">
        <f>'enrolment vs availed_UPY'!O25</f>
        <v>0</v>
      </c>
      <c r="I26" s="537">
        <v>236</v>
      </c>
      <c r="J26" s="554">
        <f t="shared" si="1"/>
        <v>0</v>
      </c>
    </row>
    <row r="27" spans="1:10" s="396" customFormat="1">
      <c r="A27" s="539">
        <v>16</v>
      </c>
      <c r="B27" s="537" t="s">
        <v>927</v>
      </c>
      <c r="C27" s="537">
        <v>0</v>
      </c>
      <c r="D27" s="537">
        <v>0</v>
      </c>
      <c r="E27" s="537">
        <v>313</v>
      </c>
      <c r="F27" s="553">
        <f t="shared" si="0"/>
        <v>0</v>
      </c>
      <c r="G27" s="537">
        <v>0</v>
      </c>
      <c r="H27" s="554">
        <f>'enrolment vs availed_UPY'!O26</f>
        <v>0</v>
      </c>
      <c r="I27" s="537">
        <v>236</v>
      </c>
      <c r="J27" s="554">
        <f t="shared" si="1"/>
        <v>0</v>
      </c>
    </row>
    <row r="28" spans="1:10" s="396" customFormat="1">
      <c r="A28" s="539">
        <v>17</v>
      </c>
      <c r="B28" s="537" t="s">
        <v>928</v>
      </c>
      <c r="C28" s="537">
        <v>0</v>
      </c>
      <c r="D28" s="537">
        <v>0</v>
      </c>
      <c r="E28" s="537">
        <v>313</v>
      </c>
      <c r="F28" s="553">
        <f t="shared" si="0"/>
        <v>0</v>
      </c>
      <c r="G28" s="537">
        <v>0</v>
      </c>
      <c r="H28" s="554">
        <f>'enrolment vs availed_UPY'!O27</f>
        <v>0</v>
      </c>
      <c r="I28" s="537">
        <v>236</v>
      </c>
      <c r="J28" s="554">
        <f t="shared" si="1"/>
        <v>0</v>
      </c>
    </row>
    <row r="29" spans="1:10" s="396" customFormat="1">
      <c r="A29" s="539">
        <v>18</v>
      </c>
      <c r="B29" s="537" t="s">
        <v>929</v>
      </c>
      <c r="C29" s="537">
        <v>0</v>
      </c>
      <c r="D29" s="537">
        <v>0</v>
      </c>
      <c r="E29" s="537">
        <v>313</v>
      </c>
      <c r="F29" s="553">
        <f t="shared" si="0"/>
        <v>0</v>
      </c>
      <c r="G29" s="537">
        <v>0</v>
      </c>
      <c r="H29" s="554">
        <f>'enrolment vs availed_UPY'!O28</f>
        <v>0</v>
      </c>
      <c r="I29" s="537">
        <v>236</v>
      </c>
      <c r="J29" s="554">
        <f t="shared" si="1"/>
        <v>0</v>
      </c>
    </row>
    <row r="30" spans="1:10" s="396" customFormat="1">
      <c r="A30" s="539">
        <v>19</v>
      </c>
      <c r="B30" s="537" t="s">
        <v>930</v>
      </c>
      <c r="C30" s="537">
        <v>0</v>
      </c>
      <c r="D30" s="537">
        <v>0</v>
      </c>
      <c r="E30" s="537">
        <v>313</v>
      </c>
      <c r="F30" s="553">
        <f t="shared" si="0"/>
        <v>0</v>
      </c>
      <c r="G30" s="537">
        <v>0</v>
      </c>
      <c r="H30" s="554">
        <f>'enrolment vs availed_UPY'!O29</f>
        <v>0</v>
      </c>
      <c r="I30" s="537">
        <v>236</v>
      </c>
      <c r="J30" s="554">
        <f t="shared" si="1"/>
        <v>0</v>
      </c>
    </row>
    <row r="31" spans="1:10" s="396" customFormat="1">
      <c r="A31" s="539">
        <v>20</v>
      </c>
      <c r="B31" s="537" t="s">
        <v>931</v>
      </c>
      <c r="C31" s="537">
        <v>0</v>
      </c>
      <c r="D31" s="537">
        <v>0</v>
      </c>
      <c r="E31" s="537">
        <v>313</v>
      </c>
      <c r="F31" s="553">
        <f t="shared" si="0"/>
        <v>0</v>
      </c>
      <c r="G31" s="537">
        <v>0</v>
      </c>
      <c r="H31" s="554">
        <f>'enrolment vs availed_UPY'!O30</f>
        <v>0</v>
      </c>
      <c r="I31" s="537">
        <v>236</v>
      </c>
      <c r="J31" s="554">
        <f t="shared" si="1"/>
        <v>0</v>
      </c>
    </row>
    <row r="32" spans="1:10" s="396" customFormat="1">
      <c r="A32" s="539">
        <v>21</v>
      </c>
      <c r="B32" s="537" t="s">
        <v>932</v>
      </c>
      <c r="C32" s="537">
        <v>0</v>
      </c>
      <c r="D32" s="537">
        <v>0</v>
      </c>
      <c r="E32" s="537">
        <v>313</v>
      </c>
      <c r="F32" s="553">
        <f t="shared" si="0"/>
        <v>0</v>
      </c>
      <c r="G32" s="537">
        <v>0</v>
      </c>
      <c r="H32" s="554">
        <f>'enrolment vs availed_UPY'!O31</f>
        <v>0</v>
      </c>
      <c r="I32" s="537">
        <v>236</v>
      </c>
      <c r="J32" s="554">
        <f t="shared" si="1"/>
        <v>0</v>
      </c>
    </row>
    <row r="33" spans="1:10" s="396" customFormat="1">
      <c r="A33" s="539">
        <v>22</v>
      </c>
      <c r="B33" s="537" t="s">
        <v>933</v>
      </c>
      <c r="C33" s="537">
        <v>0</v>
      </c>
      <c r="D33" s="537">
        <v>0</v>
      </c>
      <c r="E33" s="537">
        <v>313</v>
      </c>
      <c r="F33" s="553">
        <f t="shared" si="0"/>
        <v>0</v>
      </c>
      <c r="G33" s="537">
        <v>0</v>
      </c>
      <c r="H33" s="554">
        <f>'enrolment vs availed_UPY'!O32</f>
        <v>0</v>
      </c>
      <c r="I33" s="537">
        <v>236</v>
      </c>
      <c r="J33" s="554">
        <f t="shared" si="1"/>
        <v>0</v>
      </c>
    </row>
    <row r="34" spans="1:10" s="396" customFormat="1">
      <c r="A34" s="539">
        <v>23</v>
      </c>
      <c r="B34" s="537" t="s">
        <v>934</v>
      </c>
      <c r="C34" s="537">
        <v>0</v>
      </c>
      <c r="D34" s="537">
        <v>0</v>
      </c>
      <c r="E34" s="537">
        <v>313</v>
      </c>
      <c r="F34" s="553">
        <f t="shared" si="0"/>
        <v>0</v>
      </c>
      <c r="G34" s="537">
        <v>0</v>
      </c>
      <c r="H34" s="554">
        <f>'enrolment vs availed_UPY'!O33</f>
        <v>0</v>
      </c>
      <c r="I34" s="537">
        <v>236</v>
      </c>
      <c r="J34" s="554">
        <f t="shared" si="1"/>
        <v>0</v>
      </c>
    </row>
    <row r="35" spans="1:10" s="396" customFormat="1">
      <c r="A35" s="539">
        <v>24</v>
      </c>
      <c r="B35" s="537" t="s">
        <v>935</v>
      </c>
      <c r="C35" s="537">
        <v>0</v>
      </c>
      <c r="D35" s="537">
        <v>0</v>
      </c>
      <c r="E35" s="537">
        <v>313</v>
      </c>
      <c r="F35" s="553">
        <f t="shared" si="0"/>
        <v>0</v>
      </c>
      <c r="G35" s="537">
        <v>0</v>
      </c>
      <c r="H35" s="554">
        <f>'enrolment vs availed_UPY'!O34</f>
        <v>0</v>
      </c>
      <c r="I35" s="537">
        <v>236</v>
      </c>
      <c r="J35" s="554">
        <f t="shared" si="1"/>
        <v>0</v>
      </c>
    </row>
    <row r="36" spans="1:10">
      <c r="A36" s="539">
        <v>25</v>
      </c>
      <c r="B36" s="537" t="s">
        <v>936</v>
      </c>
      <c r="C36" s="537">
        <v>0</v>
      </c>
      <c r="D36" s="537">
        <v>0</v>
      </c>
      <c r="E36" s="537">
        <v>313</v>
      </c>
      <c r="F36" s="553">
        <f t="shared" si="0"/>
        <v>0</v>
      </c>
      <c r="G36" s="537">
        <v>0</v>
      </c>
      <c r="H36" s="554">
        <f>'enrolment vs availed_UPY'!O35</f>
        <v>0</v>
      </c>
      <c r="I36" s="537">
        <v>236</v>
      </c>
      <c r="J36" s="554">
        <f t="shared" si="1"/>
        <v>0</v>
      </c>
    </row>
    <row r="37" spans="1:10">
      <c r="A37" s="539">
        <v>26</v>
      </c>
      <c r="B37" s="537" t="s">
        <v>937</v>
      </c>
      <c r="C37" s="537">
        <v>0</v>
      </c>
      <c r="D37" s="537">
        <v>0</v>
      </c>
      <c r="E37" s="537">
        <v>313</v>
      </c>
      <c r="F37" s="553">
        <f t="shared" si="0"/>
        <v>0</v>
      </c>
      <c r="G37" s="537">
        <v>0</v>
      </c>
      <c r="H37" s="554">
        <f>'enrolment vs availed_UPY'!O36</f>
        <v>0</v>
      </c>
      <c r="I37" s="537">
        <v>236</v>
      </c>
      <c r="J37" s="554">
        <f t="shared" si="1"/>
        <v>0</v>
      </c>
    </row>
    <row r="38" spans="1:10">
      <c r="A38" s="539">
        <v>27</v>
      </c>
      <c r="B38" s="537" t="s">
        <v>938</v>
      </c>
      <c r="C38" s="537">
        <v>0</v>
      </c>
      <c r="D38" s="537">
        <v>0</v>
      </c>
      <c r="E38" s="537">
        <v>313</v>
      </c>
      <c r="F38" s="553">
        <f t="shared" si="0"/>
        <v>0</v>
      </c>
      <c r="G38" s="537">
        <v>0</v>
      </c>
      <c r="H38" s="554">
        <f>'enrolment vs availed_UPY'!O37</f>
        <v>0</v>
      </c>
      <c r="I38" s="537">
        <v>236</v>
      </c>
      <c r="J38" s="554">
        <f t="shared" si="1"/>
        <v>0</v>
      </c>
    </row>
    <row r="39" spans="1:10">
      <c r="A39" s="539">
        <v>28</v>
      </c>
      <c r="B39" s="537" t="s">
        <v>939</v>
      </c>
      <c r="C39" s="537">
        <v>0</v>
      </c>
      <c r="D39" s="537">
        <v>0</v>
      </c>
      <c r="E39" s="537">
        <v>313</v>
      </c>
      <c r="F39" s="553">
        <f t="shared" si="0"/>
        <v>0</v>
      </c>
      <c r="G39" s="537">
        <v>0</v>
      </c>
      <c r="H39" s="554">
        <f>'enrolment vs availed_UPY'!O38</f>
        <v>0</v>
      </c>
      <c r="I39" s="537">
        <v>236</v>
      </c>
      <c r="J39" s="554">
        <f t="shared" si="1"/>
        <v>0</v>
      </c>
    </row>
    <row r="40" spans="1:10">
      <c r="A40" s="539">
        <v>29</v>
      </c>
      <c r="B40" s="537" t="s">
        <v>940</v>
      </c>
      <c r="C40" s="537">
        <v>0</v>
      </c>
      <c r="D40" s="537">
        <v>0</v>
      </c>
      <c r="E40" s="537">
        <v>313</v>
      </c>
      <c r="F40" s="553">
        <f t="shared" si="0"/>
        <v>0</v>
      </c>
      <c r="G40" s="537">
        <v>0</v>
      </c>
      <c r="H40" s="554">
        <f>'enrolment vs availed_UPY'!O39</f>
        <v>0</v>
      </c>
      <c r="I40" s="537">
        <v>236</v>
      </c>
      <c r="J40" s="554">
        <f t="shared" si="1"/>
        <v>0</v>
      </c>
    </row>
    <row r="41" spans="1:10">
      <c r="A41" s="539">
        <v>30</v>
      </c>
      <c r="B41" s="537" t="s">
        <v>941</v>
      </c>
      <c r="C41" s="537">
        <v>8</v>
      </c>
      <c r="D41" s="537">
        <v>276</v>
      </c>
      <c r="E41" s="537">
        <v>313</v>
      </c>
      <c r="F41" s="553">
        <f t="shared" si="0"/>
        <v>86388</v>
      </c>
      <c r="G41" s="537">
        <v>8</v>
      </c>
      <c r="H41" s="554">
        <f>'enrolment vs availed_UPY'!O40</f>
        <v>62833</v>
      </c>
      <c r="I41" s="537">
        <v>236</v>
      </c>
      <c r="J41" s="554">
        <f t="shared" si="1"/>
        <v>266</v>
      </c>
    </row>
    <row r="42" spans="1:10">
      <c r="A42" s="539">
        <v>31</v>
      </c>
      <c r="B42" s="537" t="s">
        <v>942</v>
      </c>
      <c r="C42" s="537">
        <v>0</v>
      </c>
      <c r="D42" s="537">
        <v>0</v>
      </c>
      <c r="E42" s="537">
        <v>313</v>
      </c>
      <c r="F42" s="553">
        <f t="shared" si="0"/>
        <v>0</v>
      </c>
      <c r="G42" s="537">
        <v>0</v>
      </c>
      <c r="H42" s="554">
        <f>'enrolment vs availed_UPY'!O41</f>
        <v>0</v>
      </c>
      <c r="I42" s="537">
        <v>236</v>
      </c>
      <c r="J42" s="554">
        <f t="shared" si="1"/>
        <v>0</v>
      </c>
    </row>
    <row r="43" spans="1:10">
      <c r="A43" s="539">
        <v>32</v>
      </c>
      <c r="B43" s="537" t="s">
        <v>943</v>
      </c>
      <c r="C43" s="537">
        <v>0</v>
      </c>
      <c r="D43" s="537">
        <v>0</v>
      </c>
      <c r="E43" s="537">
        <v>313</v>
      </c>
      <c r="F43" s="553">
        <f t="shared" si="0"/>
        <v>0</v>
      </c>
      <c r="G43" s="537">
        <v>0</v>
      </c>
      <c r="H43" s="554">
        <f>'enrolment vs availed_UPY'!O42</f>
        <v>0</v>
      </c>
      <c r="I43" s="537">
        <v>236</v>
      </c>
      <c r="J43" s="554">
        <f t="shared" si="1"/>
        <v>0</v>
      </c>
    </row>
    <row r="44" spans="1:10">
      <c r="A44" s="539">
        <v>33</v>
      </c>
      <c r="B44" s="537" t="s">
        <v>944</v>
      </c>
      <c r="C44" s="537">
        <v>9</v>
      </c>
      <c r="D44" s="537">
        <v>355</v>
      </c>
      <c r="E44" s="537">
        <v>313</v>
      </c>
      <c r="F44" s="553">
        <f t="shared" si="0"/>
        <v>111115</v>
      </c>
      <c r="G44" s="537">
        <v>9</v>
      </c>
      <c r="H44" s="554">
        <f>'enrolment vs availed_UPY'!O43</f>
        <v>74501</v>
      </c>
      <c r="I44" s="537">
        <v>236</v>
      </c>
      <c r="J44" s="554">
        <f t="shared" si="1"/>
        <v>316</v>
      </c>
    </row>
    <row r="45" spans="1:10">
      <c r="A45" s="539">
        <v>34</v>
      </c>
      <c r="B45" s="537" t="s">
        <v>945</v>
      </c>
      <c r="C45" s="537">
        <v>0</v>
      </c>
      <c r="D45" s="537">
        <v>0</v>
      </c>
      <c r="E45" s="537">
        <v>313</v>
      </c>
      <c r="F45" s="553">
        <f t="shared" si="0"/>
        <v>0</v>
      </c>
      <c r="G45" s="537">
        <v>0</v>
      </c>
      <c r="H45" s="554">
        <f>'enrolment vs availed_UPY'!O44</f>
        <v>0</v>
      </c>
      <c r="I45" s="537">
        <v>236</v>
      </c>
      <c r="J45" s="554">
        <f t="shared" si="1"/>
        <v>0</v>
      </c>
    </row>
    <row r="46" spans="1:10">
      <c r="A46" s="559" t="s">
        <v>17</v>
      </c>
      <c r="B46" s="538"/>
      <c r="C46" s="538">
        <f>SUM(C12:C45)</f>
        <v>21</v>
      </c>
      <c r="D46" s="538">
        <f t="shared" ref="D46:F46" si="2">SUM(D12:D45)</f>
        <v>680</v>
      </c>
      <c r="E46" s="537"/>
      <c r="F46" s="538">
        <f t="shared" si="2"/>
        <v>212840</v>
      </c>
      <c r="G46" s="538">
        <f>SUM(G12:G45)</f>
        <v>21</v>
      </c>
      <c r="H46" s="538">
        <f>SUM(H12:H45)</f>
        <v>157228</v>
      </c>
      <c r="I46" s="560"/>
      <c r="J46" s="560">
        <f>SUM(J12:J45)</f>
        <v>666</v>
      </c>
    </row>
    <row r="47" spans="1:10">
      <c r="A47" s="11"/>
      <c r="B47" s="28"/>
      <c r="C47" s="28"/>
      <c r="D47" s="20"/>
      <c r="E47" s="20"/>
      <c r="F47" s="20"/>
      <c r="G47" s="20"/>
      <c r="H47" s="20"/>
      <c r="I47" s="20"/>
      <c r="J47" s="20"/>
    </row>
    <row r="48" spans="1:10">
      <c r="A48" s="927" t="s">
        <v>717</v>
      </c>
      <c r="B48" s="927"/>
      <c r="C48" s="927"/>
      <c r="D48" s="927"/>
      <c r="E48" s="927"/>
      <c r="F48" s="927"/>
      <c r="G48" s="927"/>
      <c r="H48" s="927"/>
      <c r="I48" s="20"/>
      <c r="J48" s="20"/>
    </row>
    <row r="50" spans="1:11" ht="15.75" customHeight="1"/>
    <row r="51" spans="1:11" ht="12.75" customHeight="1">
      <c r="A51" s="396"/>
      <c r="B51" s="396"/>
      <c r="C51" s="396"/>
      <c r="D51" s="396"/>
      <c r="E51" s="396"/>
      <c r="F51" s="396"/>
      <c r="G51" s="396"/>
      <c r="H51" s="396"/>
      <c r="I51" s="396"/>
      <c r="J51" s="396"/>
      <c r="K51" s="396"/>
    </row>
    <row r="52" spans="1:11" ht="12.75" customHeight="1">
      <c r="A52" s="396"/>
      <c r="B52" s="13"/>
      <c r="C52" s="13"/>
      <c r="D52" s="13"/>
      <c r="E52" s="13"/>
      <c r="F52" s="13"/>
      <c r="G52" s="804" t="s">
        <v>12</v>
      </c>
      <c r="H52" s="804"/>
      <c r="I52" s="804"/>
      <c r="J52" s="394"/>
      <c r="K52" s="396"/>
    </row>
    <row r="53" spans="1:11" ht="15.75">
      <c r="A53" s="803" t="s">
        <v>906</v>
      </c>
      <c r="B53" s="803"/>
      <c r="C53" s="803"/>
      <c r="D53" s="803"/>
      <c r="E53" s="375"/>
      <c r="F53" s="375"/>
      <c r="G53" s="804" t="s">
        <v>13</v>
      </c>
      <c r="H53" s="804"/>
      <c r="I53" s="804"/>
      <c r="J53" s="394"/>
      <c r="K53" s="396"/>
    </row>
    <row r="54" spans="1:11" ht="15.75">
      <c r="A54" s="804" t="s">
        <v>907</v>
      </c>
      <c r="B54" s="804"/>
      <c r="C54" s="804"/>
      <c r="D54" s="804"/>
      <c r="E54" s="375"/>
      <c r="F54" s="375"/>
      <c r="G54" s="804" t="s">
        <v>18</v>
      </c>
      <c r="H54" s="804"/>
      <c r="I54" s="804"/>
      <c r="J54" s="394"/>
      <c r="K54" s="396"/>
    </row>
    <row r="55" spans="1:11">
      <c r="A55" s="804" t="s">
        <v>908</v>
      </c>
      <c r="B55" s="804"/>
      <c r="C55" s="804"/>
      <c r="D55" s="804"/>
      <c r="E55"/>
      <c r="F55"/>
      <c r="G55" s="803" t="s">
        <v>84</v>
      </c>
      <c r="H55" s="803"/>
      <c r="I55" s="803"/>
      <c r="J55" s="392"/>
      <c r="K55" s="396"/>
    </row>
    <row r="56" spans="1:11">
      <c r="A56" s="395"/>
      <c r="B56" s="395"/>
      <c r="C56" s="395"/>
      <c r="D56" s="395"/>
      <c r="E56" s="395"/>
      <c r="F56" s="395"/>
      <c r="G56" s="396"/>
      <c r="H56" s="396"/>
      <c r="I56" s="396"/>
      <c r="J56" s="396"/>
      <c r="K56" s="396"/>
    </row>
    <row r="57" spans="1:11" ht="15.75">
      <c r="A57" s="13" t="s">
        <v>11</v>
      </c>
      <c r="B57" s="396"/>
      <c r="C57" s="396"/>
      <c r="D57" s="396"/>
      <c r="E57" s="396"/>
      <c r="F57" s="396"/>
      <c r="G57" s="396"/>
      <c r="H57" s="396"/>
      <c r="I57" s="396"/>
      <c r="J57" s="396"/>
      <c r="K57" s="396"/>
    </row>
    <row r="58" spans="1:11">
      <c r="A58" s="928"/>
      <c r="B58" s="928"/>
      <c r="C58" s="928"/>
      <c r="D58" s="928"/>
      <c r="E58" s="928"/>
      <c r="F58" s="928"/>
      <c r="G58" s="928"/>
      <c r="H58" s="928"/>
      <c r="I58" s="928"/>
      <c r="J58" s="928"/>
      <c r="K58" s="396"/>
    </row>
    <row r="59" spans="1:11">
      <c r="A59" s="928"/>
      <c r="B59" s="928"/>
      <c r="C59" s="928"/>
      <c r="D59" s="928"/>
      <c r="E59" s="928"/>
      <c r="F59" s="928"/>
      <c r="G59" s="928"/>
      <c r="H59" s="928"/>
      <c r="I59" s="928"/>
      <c r="J59" s="928"/>
    </row>
  </sheetData>
  <mergeCells count="20">
    <mergeCell ref="A55:D55"/>
    <mergeCell ref="A58:J58"/>
    <mergeCell ref="A59:J59"/>
    <mergeCell ref="A9:A10"/>
    <mergeCell ref="B9:B10"/>
    <mergeCell ref="C9:F9"/>
    <mergeCell ref="G9:J9"/>
    <mergeCell ref="A48:H48"/>
    <mergeCell ref="G52:I52"/>
    <mergeCell ref="A53:D53"/>
    <mergeCell ref="G53:I53"/>
    <mergeCell ref="A54:D54"/>
    <mergeCell ref="G54:I54"/>
    <mergeCell ref="G55:I55"/>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73" orientation="landscape"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1:P59"/>
  <sheetViews>
    <sheetView view="pageBreakPreview" topLeftCell="A4" zoomScale="90" zoomScaleSheetLayoutView="90" workbookViewId="0">
      <selection activeCell="J12" sqref="J12:J45"/>
    </sheetView>
  </sheetViews>
  <sheetFormatPr defaultRowHeight="12.75"/>
  <cols>
    <col min="1" max="1" width="7.42578125" style="15" customWidth="1"/>
    <col min="2" max="2" width="19.425781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c r="E1" s="803"/>
      <c r="F1" s="803"/>
      <c r="G1" s="803"/>
      <c r="H1" s="803"/>
      <c r="I1" s="803"/>
      <c r="J1" s="138" t="s">
        <v>362</v>
      </c>
    </row>
    <row r="2" spans="1:16" customFormat="1" ht="15">
      <c r="A2" s="920" t="s">
        <v>0</v>
      </c>
      <c r="B2" s="920"/>
      <c r="C2" s="920"/>
      <c r="D2" s="920"/>
      <c r="E2" s="920"/>
      <c r="F2" s="920"/>
      <c r="G2" s="920"/>
      <c r="H2" s="920"/>
      <c r="I2" s="920"/>
      <c r="J2" s="920"/>
    </row>
    <row r="3" spans="1:16" customFormat="1" ht="20.25">
      <c r="A3" s="848" t="s">
        <v>745</v>
      </c>
      <c r="B3" s="848"/>
      <c r="C3" s="848"/>
      <c r="D3" s="848"/>
      <c r="E3" s="848"/>
      <c r="F3" s="848"/>
      <c r="G3" s="848"/>
      <c r="H3" s="848"/>
      <c r="I3" s="848"/>
      <c r="J3" s="848"/>
    </row>
    <row r="4" spans="1:16" customFormat="1" ht="14.25" customHeight="1"/>
    <row r="5" spans="1:16" ht="31.5" customHeight="1">
      <c r="A5" s="925" t="s">
        <v>808</v>
      </c>
      <c r="B5" s="925"/>
      <c r="C5" s="925"/>
      <c r="D5" s="925"/>
      <c r="E5" s="925"/>
      <c r="F5" s="925"/>
      <c r="G5" s="925"/>
      <c r="H5" s="925"/>
      <c r="I5" s="925"/>
      <c r="J5" s="925"/>
    </row>
    <row r="6" spans="1:16" ht="13.5" customHeight="1">
      <c r="A6" s="1"/>
      <c r="B6" s="1"/>
      <c r="C6" s="1"/>
      <c r="D6" s="1"/>
      <c r="E6" s="1"/>
      <c r="F6" s="1"/>
      <c r="G6" s="1"/>
      <c r="H6" s="1"/>
      <c r="I6" s="1"/>
      <c r="J6" s="1"/>
    </row>
    <row r="7" spans="1:16" ht="0.75" customHeight="1"/>
    <row r="8" spans="1:16">
      <c r="A8" s="850" t="s">
        <v>911</v>
      </c>
      <c r="B8" s="850"/>
      <c r="C8" s="29"/>
      <c r="H8" s="914" t="s">
        <v>831</v>
      </c>
      <c r="I8" s="914"/>
      <c r="J8" s="914"/>
    </row>
    <row r="9" spans="1:16">
      <c r="A9" s="834" t="s">
        <v>2</v>
      </c>
      <c r="B9" s="834" t="s">
        <v>3</v>
      </c>
      <c r="C9" s="815" t="s">
        <v>804</v>
      </c>
      <c r="D9" s="866"/>
      <c r="E9" s="866"/>
      <c r="F9" s="816"/>
      <c r="G9" s="815" t="s">
        <v>105</v>
      </c>
      <c r="H9" s="866"/>
      <c r="I9" s="866"/>
      <c r="J9" s="816"/>
      <c r="O9" s="18"/>
      <c r="P9" s="20"/>
    </row>
    <row r="10" spans="1:16" ht="53.25" customHeight="1">
      <c r="A10" s="834"/>
      <c r="B10" s="834"/>
      <c r="C10" s="5" t="s">
        <v>183</v>
      </c>
      <c r="D10" s="5" t="s">
        <v>15</v>
      </c>
      <c r="E10" s="253" t="s">
        <v>364</v>
      </c>
      <c r="F10" s="7" t="s">
        <v>200</v>
      </c>
      <c r="G10" s="5" t="s">
        <v>183</v>
      </c>
      <c r="H10" s="24" t="s">
        <v>16</v>
      </c>
      <c r="I10" s="104" t="s">
        <v>715</v>
      </c>
      <c r="J10" s="5" t="s">
        <v>716</v>
      </c>
    </row>
    <row r="11" spans="1:16">
      <c r="A11" s="5">
        <v>1</v>
      </c>
      <c r="B11" s="5">
        <v>2</v>
      </c>
      <c r="C11" s="5">
        <v>3</v>
      </c>
      <c r="D11" s="5">
        <v>4</v>
      </c>
      <c r="E11" s="5">
        <v>5</v>
      </c>
      <c r="F11" s="7">
        <v>6</v>
      </c>
      <c r="G11" s="5">
        <v>7</v>
      </c>
      <c r="H11" s="102">
        <v>8</v>
      </c>
      <c r="I11" s="5">
        <v>9</v>
      </c>
      <c r="J11" s="5">
        <v>10</v>
      </c>
    </row>
    <row r="12" spans="1:16">
      <c r="A12" s="539">
        <v>1</v>
      </c>
      <c r="B12" s="547" t="s">
        <v>912</v>
      </c>
      <c r="C12" s="537">
        <v>241</v>
      </c>
      <c r="D12" s="537">
        <v>60421</v>
      </c>
      <c r="E12" s="537">
        <v>35</v>
      </c>
      <c r="F12" s="553">
        <f>D12*E12</f>
        <v>2114735</v>
      </c>
      <c r="G12" s="537">
        <f>C12</f>
        <v>241</v>
      </c>
      <c r="H12" s="554">
        <v>304071</v>
      </c>
      <c r="I12" s="554">
        <v>35</v>
      </c>
      <c r="J12" s="554">
        <f>ROUND(H12/35,0)</f>
        <v>8688</v>
      </c>
    </row>
    <row r="13" spans="1:16">
      <c r="A13" s="539">
        <v>2</v>
      </c>
      <c r="B13" s="547" t="s">
        <v>913</v>
      </c>
      <c r="C13" s="537">
        <v>409</v>
      </c>
      <c r="D13" s="537">
        <v>90487</v>
      </c>
      <c r="E13" s="537">
        <v>35</v>
      </c>
      <c r="F13" s="553">
        <f t="shared" ref="F13:F45" si="0">D13*E13</f>
        <v>3167045</v>
      </c>
      <c r="G13" s="537">
        <f t="shared" ref="G13:G45" si="1">C13</f>
        <v>409</v>
      </c>
      <c r="H13" s="554">
        <v>603876</v>
      </c>
      <c r="I13" s="554">
        <v>35</v>
      </c>
      <c r="J13" s="554">
        <f t="shared" ref="J13:J45" si="2">ROUND(H13/35,0)</f>
        <v>17254</v>
      </c>
      <c r="L13" s="489"/>
    </row>
    <row r="14" spans="1:16">
      <c r="A14" s="539">
        <v>3</v>
      </c>
      <c r="B14" s="547" t="s">
        <v>914</v>
      </c>
      <c r="C14" s="537">
        <v>814</v>
      </c>
      <c r="D14" s="537">
        <v>84683</v>
      </c>
      <c r="E14" s="537">
        <v>35</v>
      </c>
      <c r="F14" s="553">
        <f t="shared" si="0"/>
        <v>2963905</v>
      </c>
      <c r="G14" s="537">
        <f t="shared" si="1"/>
        <v>814</v>
      </c>
      <c r="H14" s="554">
        <v>1064816</v>
      </c>
      <c r="I14" s="554">
        <v>35</v>
      </c>
      <c r="J14" s="554">
        <f t="shared" si="2"/>
        <v>30423</v>
      </c>
      <c r="L14" s="489"/>
    </row>
    <row r="15" spans="1:16">
      <c r="A15" s="539">
        <v>4</v>
      </c>
      <c r="B15" s="547" t="s">
        <v>915</v>
      </c>
      <c r="C15" s="537">
        <v>636</v>
      </c>
      <c r="D15" s="537">
        <v>71844</v>
      </c>
      <c r="E15" s="537">
        <v>35</v>
      </c>
      <c r="F15" s="553">
        <f t="shared" si="0"/>
        <v>2514540</v>
      </c>
      <c r="G15" s="537">
        <f t="shared" si="1"/>
        <v>636</v>
      </c>
      <c r="H15" s="554">
        <v>762020</v>
      </c>
      <c r="I15" s="554">
        <v>35</v>
      </c>
      <c r="J15" s="554">
        <f t="shared" si="2"/>
        <v>21772</v>
      </c>
      <c r="L15" s="489"/>
    </row>
    <row r="16" spans="1:16" s="396" customFormat="1">
      <c r="A16" s="539">
        <v>5</v>
      </c>
      <c r="B16" s="547" t="s">
        <v>916</v>
      </c>
      <c r="C16" s="537">
        <f>519+4</f>
        <v>523</v>
      </c>
      <c r="D16" s="537">
        <v>56943</v>
      </c>
      <c r="E16" s="537">
        <v>35</v>
      </c>
      <c r="F16" s="553">
        <f t="shared" si="0"/>
        <v>1993005</v>
      </c>
      <c r="G16" s="537">
        <f t="shared" si="1"/>
        <v>523</v>
      </c>
      <c r="H16" s="554">
        <v>215621</v>
      </c>
      <c r="I16" s="554">
        <v>35</v>
      </c>
      <c r="J16" s="554">
        <f t="shared" si="2"/>
        <v>6161</v>
      </c>
      <c r="L16" s="489"/>
    </row>
    <row r="17" spans="1:12" s="396" customFormat="1">
      <c r="A17" s="539">
        <v>6</v>
      </c>
      <c r="B17" s="547" t="s">
        <v>917</v>
      </c>
      <c r="C17" s="537">
        <v>646</v>
      </c>
      <c r="D17" s="537">
        <v>31041</v>
      </c>
      <c r="E17" s="537">
        <v>35</v>
      </c>
      <c r="F17" s="553">
        <f t="shared" si="0"/>
        <v>1086435</v>
      </c>
      <c r="G17" s="537">
        <f t="shared" si="1"/>
        <v>646</v>
      </c>
      <c r="H17" s="554">
        <v>436970</v>
      </c>
      <c r="I17" s="554">
        <v>35</v>
      </c>
      <c r="J17" s="554">
        <f t="shared" si="2"/>
        <v>12485</v>
      </c>
      <c r="L17" s="489"/>
    </row>
    <row r="18" spans="1:12" s="396" customFormat="1">
      <c r="A18" s="539">
        <v>7</v>
      </c>
      <c r="B18" s="547" t="s">
        <v>918</v>
      </c>
      <c r="C18" s="537">
        <v>683</v>
      </c>
      <c r="D18" s="537">
        <v>27040</v>
      </c>
      <c r="E18" s="537">
        <v>35</v>
      </c>
      <c r="F18" s="553">
        <f t="shared" si="0"/>
        <v>946400</v>
      </c>
      <c r="G18" s="537">
        <f t="shared" si="1"/>
        <v>683</v>
      </c>
      <c r="H18" s="554">
        <v>441655</v>
      </c>
      <c r="I18" s="554">
        <v>35</v>
      </c>
      <c r="J18" s="554">
        <f t="shared" si="2"/>
        <v>12619</v>
      </c>
      <c r="L18" s="489"/>
    </row>
    <row r="19" spans="1:12" s="396" customFormat="1">
      <c r="A19" s="539">
        <v>8</v>
      </c>
      <c r="B19" s="547" t="s">
        <v>919</v>
      </c>
      <c r="C19" s="537">
        <v>1182</v>
      </c>
      <c r="D19" s="537">
        <v>48515</v>
      </c>
      <c r="E19" s="537">
        <v>35</v>
      </c>
      <c r="F19" s="553">
        <f t="shared" si="0"/>
        <v>1698025</v>
      </c>
      <c r="G19" s="537">
        <f t="shared" si="1"/>
        <v>1182</v>
      </c>
      <c r="H19" s="554">
        <v>1398670</v>
      </c>
      <c r="I19" s="554">
        <v>35</v>
      </c>
      <c r="J19" s="554">
        <f t="shared" si="2"/>
        <v>39962</v>
      </c>
      <c r="L19" s="489"/>
    </row>
    <row r="20" spans="1:12" s="396" customFormat="1">
      <c r="A20" s="539">
        <v>9</v>
      </c>
      <c r="B20" s="547" t="s">
        <v>920</v>
      </c>
      <c r="C20" s="537">
        <v>921</v>
      </c>
      <c r="D20" s="537">
        <v>43777</v>
      </c>
      <c r="E20" s="537">
        <v>35</v>
      </c>
      <c r="F20" s="553">
        <f t="shared" si="0"/>
        <v>1532195</v>
      </c>
      <c r="G20" s="537">
        <f t="shared" si="1"/>
        <v>921</v>
      </c>
      <c r="H20" s="554">
        <v>824250</v>
      </c>
      <c r="I20" s="554">
        <v>35</v>
      </c>
      <c r="J20" s="554">
        <f t="shared" si="2"/>
        <v>23550</v>
      </c>
      <c r="L20" s="489"/>
    </row>
    <row r="21" spans="1:12" s="396" customFormat="1">
      <c r="A21" s="539">
        <v>10</v>
      </c>
      <c r="B21" s="547" t="s">
        <v>921</v>
      </c>
      <c r="C21" s="537">
        <v>818</v>
      </c>
      <c r="D21" s="537">
        <v>42444</v>
      </c>
      <c r="E21" s="537">
        <v>35</v>
      </c>
      <c r="F21" s="553">
        <f t="shared" si="0"/>
        <v>1485540</v>
      </c>
      <c r="G21" s="537">
        <f t="shared" si="1"/>
        <v>818</v>
      </c>
      <c r="H21" s="554">
        <v>205895</v>
      </c>
      <c r="I21" s="554">
        <v>35</v>
      </c>
      <c r="J21" s="554">
        <f t="shared" si="2"/>
        <v>5883</v>
      </c>
      <c r="L21" s="489"/>
    </row>
    <row r="22" spans="1:12" s="396" customFormat="1">
      <c r="A22" s="539">
        <v>11</v>
      </c>
      <c r="B22" s="547" t="s">
        <v>922</v>
      </c>
      <c r="C22" s="537">
        <v>725</v>
      </c>
      <c r="D22" s="537">
        <v>44712</v>
      </c>
      <c r="E22" s="537">
        <v>35</v>
      </c>
      <c r="F22" s="553">
        <f t="shared" si="0"/>
        <v>1564920</v>
      </c>
      <c r="G22" s="537">
        <f t="shared" si="1"/>
        <v>725</v>
      </c>
      <c r="H22" s="554">
        <v>1047225</v>
      </c>
      <c r="I22" s="554">
        <v>35</v>
      </c>
      <c r="J22" s="554">
        <f t="shared" si="2"/>
        <v>29921</v>
      </c>
      <c r="L22" s="489"/>
    </row>
    <row r="23" spans="1:12" s="396" customFormat="1">
      <c r="A23" s="539">
        <v>12</v>
      </c>
      <c r="B23" s="547" t="s">
        <v>923</v>
      </c>
      <c r="C23" s="537">
        <v>281</v>
      </c>
      <c r="D23" s="537">
        <v>20105</v>
      </c>
      <c r="E23" s="537">
        <v>35</v>
      </c>
      <c r="F23" s="553">
        <f t="shared" si="0"/>
        <v>703675</v>
      </c>
      <c r="G23" s="537">
        <f t="shared" si="1"/>
        <v>281</v>
      </c>
      <c r="H23" s="554">
        <v>346640</v>
      </c>
      <c r="I23" s="554">
        <v>35</v>
      </c>
      <c r="J23" s="554">
        <f t="shared" si="2"/>
        <v>9904</v>
      </c>
      <c r="L23" s="489"/>
    </row>
    <row r="24" spans="1:12" s="396" customFormat="1">
      <c r="A24" s="539">
        <v>13</v>
      </c>
      <c r="B24" s="547" t="s">
        <v>924</v>
      </c>
      <c r="C24" s="537">
        <v>623</v>
      </c>
      <c r="D24" s="537">
        <v>38893</v>
      </c>
      <c r="E24" s="537">
        <v>35</v>
      </c>
      <c r="F24" s="553">
        <f t="shared" si="0"/>
        <v>1361255</v>
      </c>
      <c r="G24" s="537">
        <f t="shared" si="1"/>
        <v>623</v>
      </c>
      <c r="H24" s="554">
        <v>340836</v>
      </c>
      <c r="I24" s="554">
        <v>35</v>
      </c>
      <c r="J24" s="554">
        <f t="shared" si="2"/>
        <v>9738</v>
      </c>
      <c r="L24" s="489"/>
    </row>
    <row r="25" spans="1:12" s="396" customFormat="1">
      <c r="A25" s="539">
        <v>14</v>
      </c>
      <c r="B25" s="547" t="s">
        <v>925</v>
      </c>
      <c r="C25" s="537">
        <v>218</v>
      </c>
      <c r="D25" s="537">
        <v>26172</v>
      </c>
      <c r="E25" s="537">
        <v>35</v>
      </c>
      <c r="F25" s="553">
        <f t="shared" si="0"/>
        <v>916020</v>
      </c>
      <c r="G25" s="537">
        <f t="shared" si="1"/>
        <v>218</v>
      </c>
      <c r="H25" s="554">
        <v>721428</v>
      </c>
      <c r="I25" s="554">
        <v>35</v>
      </c>
      <c r="J25" s="554">
        <f t="shared" si="2"/>
        <v>20612</v>
      </c>
      <c r="L25" s="489"/>
    </row>
    <row r="26" spans="1:12" s="396" customFormat="1">
      <c r="A26" s="539">
        <v>15</v>
      </c>
      <c r="B26" s="547" t="s">
        <v>926</v>
      </c>
      <c r="C26" s="537">
        <v>125</v>
      </c>
      <c r="D26" s="537">
        <v>15322</v>
      </c>
      <c r="E26" s="537">
        <v>35</v>
      </c>
      <c r="F26" s="553">
        <f t="shared" si="0"/>
        <v>536270</v>
      </c>
      <c r="G26" s="537">
        <f t="shared" si="1"/>
        <v>125</v>
      </c>
      <c r="H26" s="554">
        <v>2852</v>
      </c>
      <c r="I26" s="554">
        <v>35</v>
      </c>
      <c r="J26" s="554">
        <f t="shared" si="2"/>
        <v>81</v>
      </c>
      <c r="L26" s="489"/>
    </row>
    <row r="27" spans="1:12" s="396" customFormat="1">
      <c r="A27" s="539">
        <v>16</v>
      </c>
      <c r="B27" s="547" t="s">
        <v>927</v>
      </c>
      <c r="C27" s="537">
        <v>1281</v>
      </c>
      <c r="D27" s="537">
        <v>56635</v>
      </c>
      <c r="E27" s="537">
        <v>35</v>
      </c>
      <c r="F27" s="553">
        <f t="shared" si="0"/>
        <v>1982225</v>
      </c>
      <c r="G27" s="537">
        <f t="shared" si="1"/>
        <v>1281</v>
      </c>
      <c r="H27" s="554">
        <v>1328250</v>
      </c>
      <c r="I27" s="554">
        <v>35</v>
      </c>
      <c r="J27" s="554">
        <f t="shared" si="2"/>
        <v>37950</v>
      </c>
      <c r="L27" s="489"/>
    </row>
    <row r="28" spans="1:12" s="396" customFormat="1">
      <c r="A28" s="539">
        <v>17</v>
      </c>
      <c r="B28" s="547" t="s">
        <v>928</v>
      </c>
      <c r="C28" s="537">
        <v>589</v>
      </c>
      <c r="D28" s="537">
        <v>35077</v>
      </c>
      <c r="E28" s="537">
        <v>35</v>
      </c>
      <c r="F28" s="553">
        <f t="shared" si="0"/>
        <v>1227695</v>
      </c>
      <c r="G28" s="537">
        <f t="shared" si="1"/>
        <v>589</v>
      </c>
      <c r="H28" s="554">
        <v>431130</v>
      </c>
      <c r="I28" s="554">
        <v>35</v>
      </c>
      <c r="J28" s="554">
        <f t="shared" si="2"/>
        <v>12318</v>
      </c>
      <c r="L28" s="489"/>
    </row>
    <row r="29" spans="1:12" s="396" customFormat="1">
      <c r="A29" s="539">
        <v>18</v>
      </c>
      <c r="B29" s="547" t="s">
        <v>929</v>
      </c>
      <c r="C29" s="537">
        <f>233+8</f>
        <v>241</v>
      </c>
      <c r="D29" s="537">
        <v>63475</v>
      </c>
      <c r="E29" s="537">
        <v>35</v>
      </c>
      <c r="F29" s="553">
        <f t="shared" si="0"/>
        <v>2221625</v>
      </c>
      <c r="G29" s="537">
        <f t="shared" si="1"/>
        <v>241</v>
      </c>
      <c r="H29" s="554">
        <v>2435</v>
      </c>
      <c r="I29" s="554">
        <v>35</v>
      </c>
      <c r="J29" s="554">
        <f t="shared" si="2"/>
        <v>70</v>
      </c>
      <c r="L29" s="489"/>
    </row>
    <row r="30" spans="1:12" s="396" customFormat="1">
      <c r="A30" s="539">
        <v>19</v>
      </c>
      <c r="B30" s="547" t="s">
        <v>930</v>
      </c>
      <c r="C30" s="537">
        <v>117</v>
      </c>
      <c r="D30" s="537">
        <v>20913</v>
      </c>
      <c r="E30" s="537">
        <v>35</v>
      </c>
      <c r="F30" s="553">
        <f t="shared" si="0"/>
        <v>731955</v>
      </c>
      <c r="G30" s="537">
        <v>0</v>
      </c>
      <c r="H30" s="554">
        <v>0</v>
      </c>
      <c r="I30" s="554">
        <v>35</v>
      </c>
      <c r="J30" s="554">
        <f t="shared" si="2"/>
        <v>0</v>
      </c>
      <c r="L30" s="489"/>
    </row>
    <row r="31" spans="1:12" s="396" customFormat="1">
      <c r="A31" s="539">
        <v>20</v>
      </c>
      <c r="B31" s="547" t="s">
        <v>931</v>
      </c>
      <c r="C31" s="537">
        <v>227</v>
      </c>
      <c r="D31" s="537">
        <v>79233</v>
      </c>
      <c r="E31" s="537">
        <v>35</v>
      </c>
      <c r="F31" s="553">
        <f t="shared" si="0"/>
        <v>2773155</v>
      </c>
      <c r="G31" s="537">
        <f t="shared" si="1"/>
        <v>227</v>
      </c>
      <c r="H31" s="554">
        <v>844821</v>
      </c>
      <c r="I31" s="554">
        <v>35</v>
      </c>
      <c r="J31" s="554">
        <f t="shared" si="2"/>
        <v>24138</v>
      </c>
      <c r="L31" s="489"/>
    </row>
    <row r="32" spans="1:12" s="396" customFormat="1">
      <c r="A32" s="539">
        <v>21</v>
      </c>
      <c r="B32" s="547" t="s">
        <v>932</v>
      </c>
      <c r="C32" s="537">
        <v>159</v>
      </c>
      <c r="D32" s="537">
        <v>9098</v>
      </c>
      <c r="E32" s="537">
        <v>35</v>
      </c>
      <c r="F32" s="553">
        <f t="shared" si="0"/>
        <v>318430</v>
      </c>
      <c r="G32" s="537">
        <v>0</v>
      </c>
      <c r="H32" s="554">
        <v>0</v>
      </c>
      <c r="I32" s="554">
        <v>35</v>
      </c>
      <c r="J32" s="554">
        <f t="shared" si="2"/>
        <v>0</v>
      </c>
      <c r="L32" s="489"/>
    </row>
    <row r="33" spans="1:12" s="396" customFormat="1">
      <c r="A33" s="539">
        <v>22</v>
      </c>
      <c r="B33" s="547" t="s">
        <v>933</v>
      </c>
      <c r="C33" s="537">
        <v>619</v>
      </c>
      <c r="D33" s="537">
        <v>26229</v>
      </c>
      <c r="E33" s="537">
        <v>35</v>
      </c>
      <c r="F33" s="553">
        <f t="shared" si="0"/>
        <v>918015</v>
      </c>
      <c r="G33" s="537">
        <f t="shared" si="1"/>
        <v>619</v>
      </c>
      <c r="H33" s="554">
        <v>87760</v>
      </c>
      <c r="I33" s="554">
        <v>35</v>
      </c>
      <c r="J33" s="554">
        <f t="shared" si="2"/>
        <v>2507</v>
      </c>
      <c r="L33" s="489"/>
    </row>
    <row r="34" spans="1:12">
      <c r="A34" s="539">
        <v>23</v>
      </c>
      <c r="B34" s="547" t="s">
        <v>934</v>
      </c>
      <c r="C34" s="537">
        <v>459</v>
      </c>
      <c r="D34" s="537">
        <v>100192</v>
      </c>
      <c r="E34" s="537">
        <v>35</v>
      </c>
      <c r="F34" s="553">
        <f t="shared" si="0"/>
        <v>3506720</v>
      </c>
      <c r="G34" s="537">
        <f t="shared" si="1"/>
        <v>459</v>
      </c>
      <c r="H34" s="554">
        <v>1258705</v>
      </c>
      <c r="I34" s="554">
        <v>35</v>
      </c>
      <c r="J34" s="554">
        <f t="shared" si="2"/>
        <v>35963</v>
      </c>
      <c r="L34" s="489"/>
    </row>
    <row r="35" spans="1:12">
      <c r="A35" s="539">
        <v>24</v>
      </c>
      <c r="B35" s="547" t="s">
        <v>935</v>
      </c>
      <c r="C35" s="537">
        <v>192</v>
      </c>
      <c r="D35" s="537">
        <v>68030</v>
      </c>
      <c r="E35" s="537">
        <v>35</v>
      </c>
      <c r="F35" s="553">
        <f t="shared" si="0"/>
        <v>2381050</v>
      </c>
      <c r="G35" s="537">
        <f t="shared" si="1"/>
        <v>192</v>
      </c>
      <c r="H35" s="554">
        <v>609350</v>
      </c>
      <c r="I35" s="554">
        <v>35</v>
      </c>
      <c r="J35" s="554">
        <f t="shared" si="2"/>
        <v>17410</v>
      </c>
      <c r="L35" s="489"/>
    </row>
    <row r="36" spans="1:12">
      <c r="A36" s="539">
        <v>25</v>
      </c>
      <c r="B36" s="547" t="s">
        <v>936</v>
      </c>
      <c r="C36" s="537">
        <v>521</v>
      </c>
      <c r="D36" s="537">
        <v>122537</v>
      </c>
      <c r="E36" s="537">
        <v>35</v>
      </c>
      <c r="F36" s="553">
        <f t="shared" si="0"/>
        <v>4288795</v>
      </c>
      <c r="G36" s="537">
        <f t="shared" si="1"/>
        <v>521</v>
      </c>
      <c r="H36" s="554">
        <v>985156</v>
      </c>
      <c r="I36" s="554">
        <v>35</v>
      </c>
      <c r="J36" s="554">
        <f t="shared" si="2"/>
        <v>28147</v>
      </c>
      <c r="L36" s="489"/>
    </row>
    <row r="37" spans="1:12">
      <c r="A37" s="539">
        <v>26</v>
      </c>
      <c r="B37" s="547" t="s">
        <v>937</v>
      </c>
      <c r="C37" s="537">
        <v>556</v>
      </c>
      <c r="D37" s="537">
        <v>122151</v>
      </c>
      <c r="E37" s="537">
        <v>35</v>
      </c>
      <c r="F37" s="553">
        <f t="shared" si="0"/>
        <v>4275285</v>
      </c>
      <c r="G37" s="537">
        <f t="shared" si="1"/>
        <v>556</v>
      </c>
      <c r="H37" s="554">
        <v>1087887</v>
      </c>
      <c r="I37" s="554">
        <v>35</v>
      </c>
      <c r="J37" s="554">
        <f t="shared" si="2"/>
        <v>31082</v>
      </c>
      <c r="L37" s="489"/>
    </row>
    <row r="38" spans="1:12">
      <c r="A38" s="539">
        <v>27</v>
      </c>
      <c r="B38" s="547" t="s">
        <v>938</v>
      </c>
      <c r="C38" s="537">
        <v>469</v>
      </c>
      <c r="D38" s="537">
        <v>136693</v>
      </c>
      <c r="E38" s="537">
        <v>35</v>
      </c>
      <c r="F38" s="553">
        <f t="shared" si="0"/>
        <v>4784255</v>
      </c>
      <c r="G38" s="537">
        <f t="shared" si="1"/>
        <v>469</v>
      </c>
      <c r="H38" s="554">
        <v>4465252</v>
      </c>
      <c r="I38" s="554">
        <v>35</v>
      </c>
      <c r="J38" s="554">
        <f t="shared" si="2"/>
        <v>127579</v>
      </c>
      <c r="L38" s="489"/>
    </row>
    <row r="39" spans="1:12">
      <c r="A39" s="539">
        <v>28</v>
      </c>
      <c r="B39" s="547" t="s">
        <v>939</v>
      </c>
      <c r="C39" s="537">
        <v>862</v>
      </c>
      <c r="D39" s="537">
        <v>156578</v>
      </c>
      <c r="E39" s="537">
        <v>35</v>
      </c>
      <c r="F39" s="553">
        <f t="shared" si="0"/>
        <v>5480230</v>
      </c>
      <c r="G39" s="537">
        <f t="shared" si="1"/>
        <v>862</v>
      </c>
      <c r="H39" s="554">
        <v>674170</v>
      </c>
      <c r="I39" s="554">
        <v>35</v>
      </c>
      <c r="J39" s="554">
        <f t="shared" si="2"/>
        <v>19262</v>
      </c>
      <c r="L39" s="489"/>
    </row>
    <row r="40" spans="1:12">
      <c r="A40" s="539">
        <v>29</v>
      </c>
      <c r="B40" s="547" t="s">
        <v>940</v>
      </c>
      <c r="C40" s="537">
        <v>539</v>
      </c>
      <c r="D40" s="537">
        <v>94447</v>
      </c>
      <c r="E40" s="537">
        <v>35</v>
      </c>
      <c r="F40" s="553">
        <f t="shared" si="0"/>
        <v>3305645</v>
      </c>
      <c r="G40" s="537">
        <f t="shared" si="1"/>
        <v>539</v>
      </c>
      <c r="H40" s="554">
        <v>1262016</v>
      </c>
      <c r="I40" s="554">
        <v>35</v>
      </c>
      <c r="J40" s="554">
        <f t="shared" si="2"/>
        <v>36058</v>
      </c>
      <c r="L40" s="489"/>
    </row>
    <row r="41" spans="1:12">
      <c r="A41" s="539">
        <v>30</v>
      </c>
      <c r="B41" s="547" t="s">
        <v>941</v>
      </c>
      <c r="C41" s="537">
        <v>513</v>
      </c>
      <c r="D41" s="537">
        <v>172898</v>
      </c>
      <c r="E41" s="537">
        <v>35</v>
      </c>
      <c r="F41" s="553">
        <f t="shared" si="0"/>
        <v>6051430</v>
      </c>
      <c r="G41" s="537">
        <f t="shared" si="1"/>
        <v>513</v>
      </c>
      <c r="H41" s="554">
        <v>2582685</v>
      </c>
      <c r="I41" s="554">
        <v>35</v>
      </c>
      <c r="J41" s="554">
        <f t="shared" si="2"/>
        <v>73791</v>
      </c>
      <c r="L41" s="489"/>
    </row>
    <row r="42" spans="1:12">
      <c r="A42" s="539">
        <v>31</v>
      </c>
      <c r="B42" s="547" t="s">
        <v>942</v>
      </c>
      <c r="C42" s="537">
        <v>785</v>
      </c>
      <c r="D42" s="537">
        <v>171551</v>
      </c>
      <c r="E42" s="537">
        <v>35</v>
      </c>
      <c r="F42" s="553">
        <f t="shared" si="0"/>
        <v>6004285</v>
      </c>
      <c r="G42" s="537">
        <f t="shared" si="1"/>
        <v>785</v>
      </c>
      <c r="H42" s="554">
        <v>2156560</v>
      </c>
      <c r="I42" s="554">
        <v>35</v>
      </c>
      <c r="J42" s="554">
        <f t="shared" si="2"/>
        <v>61616</v>
      </c>
      <c r="L42" s="489"/>
    </row>
    <row r="43" spans="1:12">
      <c r="A43" s="539">
        <v>32</v>
      </c>
      <c r="B43" s="547" t="s">
        <v>943</v>
      </c>
      <c r="C43" s="537">
        <v>387</v>
      </c>
      <c r="D43" s="537">
        <v>108989</v>
      </c>
      <c r="E43" s="537">
        <v>35</v>
      </c>
      <c r="F43" s="553">
        <f t="shared" si="0"/>
        <v>3814615</v>
      </c>
      <c r="G43" s="537">
        <f t="shared" si="1"/>
        <v>387</v>
      </c>
      <c r="H43" s="554">
        <v>2546040</v>
      </c>
      <c r="I43" s="554">
        <v>35</v>
      </c>
      <c r="J43" s="554">
        <f t="shared" si="2"/>
        <v>72744</v>
      </c>
      <c r="L43" s="489"/>
    </row>
    <row r="44" spans="1:12">
      <c r="A44" s="539">
        <v>33</v>
      </c>
      <c r="B44" s="547" t="s">
        <v>944</v>
      </c>
      <c r="C44" s="537">
        <v>686</v>
      </c>
      <c r="D44" s="537">
        <v>149348</v>
      </c>
      <c r="E44" s="537">
        <v>35</v>
      </c>
      <c r="F44" s="553">
        <f t="shared" si="0"/>
        <v>5227180</v>
      </c>
      <c r="G44" s="537">
        <f t="shared" si="1"/>
        <v>686</v>
      </c>
      <c r="H44" s="554">
        <v>1914408</v>
      </c>
      <c r="I44" s="554">
        <v>35</v>
      </c>
      <c r="J44" s="554">
        <f t="shared" si="2"/>
        <v>54697</v>
      </c>
      <c r="L44" s="489"/>
    </row>
    <row r="45" spans="1:12">
      <c r="A45" s="539">
        <v>34</v>
      </c>
      <c r="B45" s="547" t="s">
        <v>945</v>
      </c>
      <c r="C45" s="537">
        <v>462</v>
      </c>
      <c r="D45" s="537">
        <v>103312</v>
      </c>
      <c r="E45" s="537">
        <v>35</v>
      </c>
      <c r="F45" s="553">
        <f t="shared" si="0"/>
        <v>3615920</v>
      </c>
      <c r="G45" s="537">
        <f t="shared" si="1"/>
        <v>462</v>
      </c>
      <c r="H45" s="554">
        <v>2077652</v>
      </c>
      <c r="I45" s="554">
        <v>35</v>
      </c>
      <c r="J45" s="554">
        <f t="shared" si="2"/>
        <v>59361</v>
      </c>
      <c r="L45" s="489"/>
    </row>
    <row r="46" spans="1:12">
      <c r="A46" s="559" t="s">
        <v>17</v>
      </c>
      <c r="B46" s="538"/>
      <c r="C46" s="538">
        <f>SUM(C12:C45)</f>
        <v>18509</v>
      </c>
      <c r="D46" s="538">
        <f>SUM(D12:D45)</f>
        <v>2499785</v>
      </c>
      <c r="E46" s="538"/>
      <c r="F46" s="538">
        <f t="shared" ref="F46" si="3">SUM(F12:F45)</f>
        <v>87492475</v>
      </c>
      <c r="G46" s="538">
        <f t="shared" ref="G46" si="4">SUM(G12:G45)</f>
        <v>18233</v>
      </c>
      <c r="H46" s="538">
        <f t="shared" ref="H46" si="5">SUM(H12:H45)</f>
        <v>33031102</v>
      </c>
      <c r="I46" s="538"/>
      <c r="J46" s="538">
        <f t="shared" ref="J46" si="6">SUM(J12:J45)</f>
        <v>943746</v>
      </c>
    </row>
    <row r="47" spans="1:12">
      <c r="A47" s="11"/>
      <c r="B47" s="28"/>
      <c r="C47" s="28"/>
      <c r="D47" s="20"/>
      <c r="E47" s="20"/>
      <c r="F47" s="20"/>
      <c r="G47" s="20"/>
      <c r="H47" s="20"/>
      <c r="I47" s="20"/>
      <c r="J47" s="20"/>
    </row>
    <row r="48" spans="1:12">
      <c r="A48" s="927" t="s">
        <v>717</v>
      </c>
      <c r="B48" s="927"/>
      <c r="C48" s="927"/>
      <c r="D48" s="927"/>
      <c r="E48" s="927"/>
      <c r="F48" s="927"/>
      <c r="G48" s="927"/>
      <c r="H48" s="927"/>
      <c r="I48" s="20"/>
      <c r="J48" s="20"/>
    </row>
    <row r="50" spans="1:10" ht="15.75" customHeight="1"/>
    <row r="51" spans="1:10" ht="12.75" customHeight="1">
      <c r="A51" s="396"/>
      <c r="B51" s="396"/>
      <c r="C51" s="396"/>
      <c r="D51" s="396"/>
      <c r="E51" s="396"/>
      <c r="F51" s="396"/>
      <c r="G51" s="396"/>
      <c r="H51" s="396"/>
      <c r="I51" s="396"/>
      <c r="J51" s="396"/>
    </row>
    <row r="52" spans="1:10" ht="12.75" customHeight="1">
      <c r="A52" s="396"/>
      <c r="B52" s="13"/>
      <c r="C52" s="13"/>
      <c r="D52" s="13"/>
      <c r="E52" s="13"/>
      <c r="F52" s="13"/>
      <c r="G52" s="804" t="s">
        <v>12</v>
      </c>
      <c r="H52" s="804"/>
      <c r="I52" s="804"/>
      <c r="J52" s="394"/>
    </row>
    <row r="53" spans="1:10" ht="15.75">
      <c r="A53" s="803" t="s">
        <v>906</v>
      </c>
      <c r="B53" s="803"/>
      <c r="C53" s="803"/>
      <c r="D53" s="803"/>
      <c r="E53" s="375"/>
      <c r="F53" s="375"/>
      <c r="G53" s="804" t="s">
        <v>13</v>
      </c>
      <c r="H53" s="804"/>
      <c r="I53" s="804"/>
      <c r="J53" s="394"/>
    </row>
    <row r="54" spans="1:10" ht="15.75">
      <c r="A54" s="804" t="s">
        <v>907</v>
      </c>
      <c r="B54" s="804"/>
      <c r="C54" s="804"/>
      <c r="D54" s="804"/>
      <c r="E54" s="375"/>
      <c r="F54" s="375"/>
      <c r="G54" s="804" t="s">
        <v>18</v>
      </c>
      <c r="H54" s="804"/>
      <c r="I54" s="804"/>
      <c r="J54" s="394"/>
    </row>
    <row r="55" spans="1:10">
      <c r="A55" s="804" t="s">
        <v>908</v>
      </c>
      <c r="B55" s="804"/>
      <c r="C55" s="804"/>
      <c r="D55" s="804"/>
      <c r="E55"/>
      <c r="F55"/>
      <c r="G55" s="803" t="s">
        <v>84</v>
      </c>
      <c r="H55" s="803"/>
      <c r="I55" s="803"/>
      <c r="J55" s="392"/>
    </row>
    <row r="56" spans="1:10">
      <c r="A56" s="395"/>
      <c r="B56" s="395"/>
      <c r="C56" s="395"/>
      <c r="D56" s="395"/>
      <c r="E56" s="395"/>
      <c r="F56" s="395"/>
      <c r="G56" s="396"/>
      <c r="H56" s="396"/>
      <c r="I56" s="396"/>
      <c r="J56" s="396"/>
    </row>
    <row r="57" spans="1:10" ht="15.75">
      <c r="A57" s="13" t="s">
        <v>11</v>
      </c>
      <c r="B57" s="396"/>
      <c r="C57" s="396"/>
      <c r="D57" s="396"/>
      <c r="E57" s="396"/>
      <c r="F57" s="396"/>
      <c r="G57" s="396"/>
      <c r="H57" s="396"/>
      <c r="I57" s="396"/>
      <c r="J57" s="396"/>
    </row>
    <row r="59" spans="1:10">
      <c r="A59" s="928"/>
      <c r="B59" s="928"/>
      <c r="C59" s="928"/>
      <c r="D59" s="928"/>
      <c r="E59" s="928"/>
      <c r="F59" s="928"/>
      <c r="G59" s="928"/>
      <c r="H59" s="928"/>
      <c r="I59" s="928"/>
      <c r="J59" s="928"/>
    </row>
  </sheetData>
  <mergeCells count="19">
    <mergeCell ref="E1:I1"/>
    <mergeCell ref="A2:J2"/>
    <mergeCell ref="A3:J3"/>
    <mergeCell ref="A5:J5"/>
    <mergeCell ref="A8:B8"/>
    <mergeCell ref="H8:J8"/>
    <mergeCell ref="A59:J59"/>
    <mergeCell ref="A9:A10"/>
    <mergeCell ref="B9:B10"/>
    <mergeCell ref="C9:F9"/>
    <mergeCell ref="G9:J9"/>
    <mergeCell ref="A48:H48"/>
    <mergeCell ref="G52:I52"/>
    <mergeCell ref="A53:D53"/>
    <mergeCell ref="G53:I53"/>
    <mergeCell ref="A54:D54"/>
    <mergeCell ref="G54:I54"/>
    <mergeCell ref="A55:D55"/>
    <mergeCell ref="G55:I55"/>
  </mergeCells>
  <printOptions horizontalCentered="1"/>
  <pageMargins left="0.70866141732283472" right="0.70866141732283472" top="0.23622047244094491" bottom="0" header="0.31496062992125984" footer="0.31496062992125984"/>
  <pageSetup paperSize="9" scale="73" orientation="landscape"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1:P57"/>
  <sheetViews>
    <sheetView view="pageBreakPreview" topLeftCell="A10" zoomScale="70" zoomScaleSheetLayoutView="70" workbookViewId="0">
      <selection activeCell="J12" activeCellId="1" sqref="D12:D45 J12:J45"/>
    </sheetView>
  </sheetViews>
  <sheetFormatPr defaultRowHeight="12.75"/>
  <cols>
    <col min="1" max="1" width="7.42578125" style="15" customWidth="1"/>
    <col min="2" max="2" width="17.85546875" style="15" customWidth="1"/>
    <col min="3" max="3" width="11" style="15" customWidth="1"/>
    <col min="4" max="4" width="10" style="15" customWidth="1"/>
    <col min="5" max="5" width="13.140625" style="15" customWidth="1"/>
    <col min="6" max="6" width="14.28515625" style="15" customWidth="1"/>
    <col min="7" max="7" width="12.140625" style="15" customWidth="1"/>
    <col min="8" max="8" width="14.7109375" style="15" customWidth="1"/>
    <col min="9" max="9" width="16.7109375" style="15" customWidth="1"/>
    <col min="10" max="10" width="19.28515625" style="15" customWidth="1"/>
    <col min="11" max="16384" width="9.140625" style="15"/>
  </cols>
  <sheetData>
    <row r="1" spans="1:16" customFormat="1">
      <c r="E1" s="803"/>
      <c r="F1" s="803"/>
      <c r="G1" s="803"/>
      <c r="H1" s="803"/>
      <c r="I1" s="803"/>
      <c r="J1" s="138" t="s">
        <v>433</v>
      </c>
    </row>
    <row r="2" spans="1:16" customFormat="1" ht="15">
      <c r="A2" s="920" t="s">
        <v>0</v>
      </c>
      <c r="B2" s="920"/>
      <c r="C2" s="920"/>
      <c r="D2" s="920"/>
      <c r="E2" s="920"/>
      <c r="F2" s="920"/>
      <c r="G2" s="920"/>
      <c r="H2" s="920"/>
      <c r="I2" s="920"/>
      <c r="J2" s="920"/>
    </row>
    <row r="3" spans="1:16" customFormat="1" ht="20.25">
      <c r="A3" s="848" t="s">
        <v>745</v>
      </c>
      <c r="B3" s="848"/>
      <c r="C3" s="848"/>
      <c r="D3" s="848"/>
      <c r="E3" s="848"/>
      <c r="F3" s="848"/>
      <c r="G3" s="848"/>
      <c r="H3" s="848"/>
      <c r="I3" s="848"/>
      <c r="J3" s="848"/>
    </row>
    <row r="4" spans="1:16" customFormat="1" ht="14.25" customHeight="1"/>
    <row r="5" spans="1:16" ht="31.5" customHeight="1">
      <c r="A5" s="925" t="s">
        <v>809</v>
      </c>
      <c r="B5" s="925"/>
      <c r="C5" s="925"/>
      <c r="D5" s="925"/>
      <c r="E5" s="925"/>
      <c r="F5" s="925"/>
      <c r="G5" s="925"/>
      <c r="H5" s="925"/>
      <c r="I5" s="925"/>
      <c r="J5" s="925"/>
    </row>
    <row r="6" spans="1:16" ht="13.5" customHeight="1">
      <c r="A6" s="1"/>
      <c r="B6" s="1"/>
      <c r="C6" s="1"/>
      <c r="D6" s="1"/>
      <c r="E6" s="1"/>
      <c r="F6" s="1"/>
      <c r="G6" s="1"/>
      <c r="H6" s="1"/>
      <c r="I6" s="1"/>
      <c r="J6" s="1"/>
    </row>
    <row r="7" spans="1:16" ht="0.75" customHeight="1"/>
    <row r="8" spans="1:16">
      <c r="A8" s="850" t="s">
        <v>911</v>
      </c>
      <c r="B8" s="850"/>
      <c r="C8" s="29"/>
      <c r="H8" s="914" t="s">
        <v>831</v>
      </c>
      <c r="I8" s="914"/>
      <c r="J8" s="914"/>
    </row>
    <row r="9" spans="1:16">
      <c r="A9" s="834" t="s">
        <v>2</v>
      </c>
      <c r="B9" s="834" t="s">
        <v>3</v>
      </c>
      <c r="C9" s="815" t="s">
        <v>804</v>
      </c>
      <c r="D9" s="866"/>
      <c r="E9" s="866"/>
      <c r="F9" s="816"/>
      <c r="G9" s="815" t="s">
        <v>105</v>
      </c>
      <c r="H9" s="866"/>
      <c r="I9" s="866"/>
      <c r="J9" s="816"/>
      <c r="O9" s="18"/>
      <c r="P9" s="20"/>
    </row>
    <row r="10" spans="1:16" ht="53.25" customHeight="1">
      <c r="A10" s="834"/>
      <c r="B10" s="834"/>
      <c r="C10" s="5" t="s">
        <v>183</v>
      </c>
      <c r="D10" s="5" t="s">
        <v>15</v>
      </c>
      <c r="E10" s="253" t="s">
        <v>365</v>
      </c>
      <c r="F10" s="7" t="s">
        <v>200</v>
      </c>
      <c r="G10" s="5" t="s">
        <v>183</v>
      </c>
      <c r="H10" s="24" t="s">
        <v>16</v>
      </c>
      <c r="I10" s="104" t="s">
        <v>715</v>
      </c>
      <c r="J10" s="5" t="s">
        <v>716</v>
      </c>
    </row>
    <row r="11" spans="1:16">
      <c r="A11" s="5">
        <v>1</v>
      </c>
      <c r="B11" s="5">
        <v>2</v>
      </c>
      <c r="C11" s="5">
        <v>3</v>
      </c>
      <c r="D11" s="5">
        <v>4</v>
      </c>
      <c r="E11" s="5">
        <v>5</v>
      </c>
      <c r="F11" s="7">
        <v>6</v>
      </c>
      <c r="G11" s="5">
        <v>7</v>
      </c>
      <c r="H11" s="102">
        <v>8</v>
      </c>
      <c r="I11" s="5">
        <v>9</v>
      </c>
      <c r="J11" s="5">
        <v>10</v>
      </c>
    </row>
    <row r="12" spans="1:16">
      <c r="A12" s="539">
        <v>1</v>
      </c>
      <c r="B12" s="547" t="s">
        <v>912</v>
      </c>
      <c r="C12" s="537">
        <v>601</v>
      </c>
      <c r="D12" s="537">
        <v>44031</v>
      </c>
      <c r="E12" s="537">
        <v>35</v>
      </c>
      <c r="F12" s="553">
        <f>D12*35</f>
        <v>1541085</v>
      </c>
      <c r="G12" s="537">
        <f>C12</f>
        <v>601</v>
      </c>
      <c r="H12" s="554">
        <v>289008</v>
      </c>
      <c r="I12" s="554">
        <v>35</v>
      </c>
      <c r="J12" s="554">
        <f>ROUND(H12/I12,0)</f>
        <v>8257</v>
      </c>
    </row>
    <row r="13" spans="1:16">
      <c r="A13" s="539">
        <v>2</v>
      </c>
      <c r="B13" s="547" t="s">
        <v>913</v>
      </c>
      <c r="C13" s="537">
        <v>882</v>
      </c>
      <c r="D13" s="537">
        <v>61246</v>
      </c>
      <c r="E13" s="537">
        <v>35</v>
      </c>
      <c r="F13" s="553">
        <f t="shared" ref="F13:F46" si="0">D13*35</f>
        <v>2143610</v>
      </c>
      <c r="G13" s="537">
        <f t="shared" ref="G13:G45" si="1">C13</f>
        <v>882</v>
      </c>
      <c r="H13" s="554">
        <v>323641</v>
      </c>
      <c r="I13" s="554">
        <v>35</v>
      </c>
      <c r="J13" s="554">
        <f t="shared" ref="J13:J45" si="2">ROUND(H13/I13,0)</f>
        <v>9247</v>
      </c>
    </row>
    <row r="14" spans="1:16">
      <c r="A14" s="539">
        <v>3</v>
      </c>
      <c r="B14" s="547" t="s">
        <v>914</v>
      </c>
      <c r="C14" s="537">
        <v>1218</v>
      </c>
      <c r="D14" s="537">
        <v>52303</v>
      </c>
      <c r="E14" s="537">
        <v>35</v>
      </c>
      <c r="F14" s="553">
        <f t="shared" si="0"/>
        <v>1830605</v>
      </c>
      <c r="G14" s="537">
        <f t="shared" si="1"/>
        <v>1218</v>
      </c>
      <c r="H14" s="554">
        <v>806732</v>
      </c>
      <c r="I14" s="554">
        <v>35</v>
      </c>
      <c r="J14" s="554">
        <f t="shared" si="2"/>
        <v>23049</v>
      </c>
    </row>
    <row r="15" spans="1:16">
      <c r="A15" s="539">
        <v>4</v>
      </c>
      <c r="B15" s="547" t="s">
        <v>915</v>
      </c>
      <c r="C15" s="537">
        <v>1216</v>
      </c>
      <c r="D15" s="537">
        <v>47307</v>
      </c>
      <c r="E15" s="537">
        <v>35</v>
      </c>
      <c r="F15" s="553">
        <f t="shared" si="0"/>
        <v>1655745</v>
      </c>
      <c r="G15" s="537">
        <f t="shared" si="1"/>
        <v>1216</v>
      </c>
      <c r="H15" s="554">
        <v>418180</v>
      </c>
      <c r="I15" s="554">
        <v>35</v>
      </c>
      <c r="J15" s="554">
        <f t="shared" si="2"/>
        <v>11948</v>
      </c>
    </row>
    <row r="16" spans="1:16">
      <c r="A16" s="539">
        <v>5</v>
      </c>
      <c r="B16" s="547" t="s">
        <v>916</v>
      </c>
      <c r="C16" s="537">
        <f>676+203</f>
        <v>879</v>
      </c>
      <c r="D16" s="537">
        <v>35697</v>
      </c>
      <c r="E16" s="537">
        <v>35</v>
      </c>
      <c r="F16" s="553">
        <f t="shared" si="0"/>
        <v>1249395</v>
      </c>
      <c r="G16" s="537">
        <f t="shared" si="1"/>
        <v>879</v>
      </c>
      <c r="H16" s="554">
        <v>129665</v>
      </c>
      <c r="I16" s="554">
        <v>35</v>
      </c>
      <c r="J16" s="554">
        <f t="shared" si="2"/>
        <v>3705</v>
      </c>
    </row>
    <row r="17" spans="1:10" s="396" customFormat="1">
      <c r="A17" s="539">
        <v>6</v>
      </c>
      <c r="B17" s="547" t="s">
        <v>917</v>
      </c>
      <c r="C17" s="537">
        <v>560</v>
      </c>
      <c r="D17" s="537">
        <v>22649</v>
      </c>
      <c r="E17" s="537">
        <v>35</v>
      </c>
      <c r="F17" s="553">
        <f t="shared" si="0"/>
        <v>792715</v>
      </c>
      <c r="G17" s="537">
        <f t="shared" si="1"/>
        <v>560</v>
      </c>
      <c r="H17" s="554">
        <v>231194</v>
      </c>
      <c r="I17" s="554">
        <v>35</v>
      </c>
      <c r="J17" s="554">
        <f t="shared" si="2"/>
        <v>6606</v>
      </c>
    </row>
    <row r="18" spans="1:10" s="396" customFormat="1">
      <c r="A18" s="539">
        <v>7</v>
      </c>
      <c r="B18" s="547" t="s">
        <v>918</v>
      </c>
      <c r="C18" s="537">
        <f>431+83</f>
        <v>514</v>
      </c>
      <c r="D18" s="537">
        <v>19060</v>
      </c>
      <c r="E18" s="537">
        <v>35</v>
      </c>
      <c r="F18" s="553">
        <f t="shared" si="0"/>
        <v>667100</v>
      </c>
      <c r="G18" s="537">
        <f t="shared" si="1"/>
        <v>514</v>
      </c>
      <c r="H18" s="554">
        <v>300965</v>
      </c>
      <c r="I18" s="554">
        <v>35</v>
      </c>
      <c r="J18" s="554">
        <f t="shared" si="2"/>
        <v>8599</v>
      </c>
    </row>
    <row r="19" spans="1:10" s="396" customFormat="1">
      <c r="A19" s="539">
        <v>8</v>
      </c>
      <c r="B19" s="547" t="s">
        <v>919</v>
      </c>
      <c r="C19" s="537">
        <f>676+88</f>
        <v>764</v>
      </c>
      <c r="D19" s="537">
        <v>32226</v>
      </c>
      <c r="E19" s="537">
        <v>35</v>
      </c>
      <c r="F19" s="553">
        <f t="shared" si="0"/>
        <v>1127910</v>
      </c>
      <c r="G19" s="537">
        <f t="shared" si="1"/>
        <v>764</v>
      </c>
      <c r="H19" s="554">
        <v>565189</v>
      </c>
      <c r="I19" s="554">
        <v>35</v>
      </c>
      <c r="J19" s="554">
        <f t="shared" si="2"/>
        <v>16148</v>
      </c>
    </row>
    <row r="20" spans="1:10" s="396" customFormat="1">
      <c r="A20" s="539">
        <v>9</v>
      </c>
      <c r="B20" s="547" t="s">
        <v>920</v>
      </c>
      <c r="C20" s="537">
        <v>731</v>
      </c>
      <c r="D20" s="537">
        <v>30192</v>
      </c>
      <c r="E20" s="537">
        <v>35</v>
      </c>
      <c r="F20" s="553">
        <f t="shared" si="0"/>
        <v>1056720</v>
      </c>
      <c r="G20" s="537">
        <f t="shared" si="1"/>
        <v>731</v>
      </c>
      <c r="H20" s="554">
        <v>335361</v>
      </c>
      <c r="I20" s="554">
        <v>35</v>
      </c>
      <c r="J20" s="554">
        <f t="shared" si="2"/>
        <v>9582</v>
      </c>
    </row>
    <row r="21" spans="1:10" s="396" customFormat="1">
      <c r="A21" s="539">
        <v>10</v>
      </c>
      <c r="B21" s="547" t="s">
        <v>921</v>
      </c>
      <c r="C21" s="537">
        <f>572+183</f>
        <v>755</v>
      </c>
      <c r="D21" s="537">
        <v>32030</v>
      </c>
      <c r="E21" s="537">
        <v>35</v>
      </c>
      <c r="F21" s="553">
        <f t="shared" si="0"/>
        <v>1121050</v>
      </c>
      <c r="G21" s="537">
        <f t="shared" si="1"/>
        <v>755</v>
      </c>
      <c r="H21" s="554">
        <v>164363</v>
      </c>
      <c r="I21" s="554">
        <v>35</v>
      </c>
      <c r="J21" s="554">
        <f t="shared" si="2"/>
        <v>4696</v>
      </c>
    </row>
    <row r="22" spans="1:10" s="396" customFormat="1">
      <c r="A22" s="539">
        <v>11</v>
      </c>
      <c r="B22" s="547" t="s">
        <v>922</v>
      </c>
      <c r="C22" s="537">
        <v>740</v>
      </c>
      <c r="D22" s="537">
        <v>27070</v>
      </c>
      <c r="E22" s="537">
        <v>35</v>
      </c>
      <c r="F22" s="553">
        <f t="shared" si="0"/>
        <v>947450</v>
      </c>
      <c r="G22" s="537">
        <f t="shared" si="1"/>
        <v>740</v>
      </c>
      <c r="H22" s="554">
        <v>262549</v>
      </c>
      <c r="I22" s="554">
        <v>35</v>
      </c>
      <c r="J22" s="554">
        <f t="shared" si="2"/>
        <v>7501</v>
      </c>
    </row>
    <row r="23" spans="1:10" s="396" customFormat="1">
      <c r="A23" s="539">
        <v>12</v>
      </c>
      <c r="B23" s="547" t="s">
        <v>923</v>
      </c>
      <c r="C23" s="537">
        <f>275+42</f>
        <v>317</v>
      </c>
      <c r="D23" s="537">
        <v>12637</v>
      </c>
      <c r="E23" s="537">
        <v>35</v>
      </c>
      <c r="F23" s="553">
        <f t="shared" si="0"/>
        <v>442295</v>
      </c>
      <c r="G23" s="537">
        <f t="shared" si="1"/>
        <v>317</v>
      </c>
      <c r="H23" s="554">
        <v>200620</v>
      </c>
      <c r="I23" s="554">
        <v>35</v>
      </c>
      <c r="J23" s="554">
        <f t="shared" si="2"/>
        <v>5732</v>
      </c>
    </row>
    <row r="24" spans="1:10" s="396" customFormat="1">
      <c r="A24" s="539">
        <v>13</v>
      </c>
      <c r="B24" s="547" t="s">
        <v>924</v>
      </c>
      <c r="C24" s="537">
        <f>689+106</f>
        <v>795</v>
      </c>
      <c r="D24" s="537">
        <v>25512</v>
      </c>
      <c r="E24" s="537">
        <v>35</v>
      </c>
      <c r="F24" s="553">
        <f t="shared" si="0"/>
        <v>892920</v>
      </c>
      <c r="G24" s="537">
        <f t="shared" si="1"/>
        <v>795</v>
      </c>
      <c r="H24" s="554">
        <v>379279</v>
      </c>
      <c r="I24" s="554">
        <v>35</v>
      </c>
      <c r="J24" s="554">
        <f t="shared" si="2"/>
        <v>10837</v>
      </c>
    </row>
    <row r="25" spans="1:10" s="396" customFormat="1">
      <c r="A25" s="539">
        <v>14</v>
      </c>
      <c r="B25" s="547" t="s">
        <v>925</v>
      </c>
      <c r="C25" s="537">
        <f>333+50</f>
        <v>383</v>
      </c>
      <c r="D25" s="537">
        <v>17855</v>
      </c>
      <c r="E25" s="537">
        <v>35</v>
      </c>
      <c r="F25" s="553">
        <f t="shared" si="0"/>
        <v>624925</v>
      </c>
      <c r="G25" s="537">
        <f t="shared" si="1"/>
        <v>383</v>
      </c>
      <c r="H25" s="554">
        <v>290079</v>
      </c>
      <c r="I25" s="554">
        <v>35</v>
      </c>
      <c r="J25" s="554">
        <f t="shared" si="2"/>
        <v>8288</v>
      </c>
    </row>
    <row r="26" spans="1:10" s="396" customFormat="1">
      <c r="A26" s="539">
        <v>15</v>
      </c>
      <c r="B26" s="547" t="s">
        <v>926</v>
      </c>
      <c r="C26" s="537">
        <v>364</v>
      </c>
      <c r="D26" s="537">
        <v>11519</v>
      </c>
      <c r="E26" s="537">
        <v>35</v>
      </c>
      <c r="F26" s="553">
        <f t="shared" si="0"/>
        <v>403165</v>
      </c>
      <c r="G26" s="537">
        <f t="shared" si="1"/>
        <v>364</v>
      </c>
      <c r="H26" s="554">
        <v>30265</v>
      </c>
      <c r="I26" s="554">
        <v>35</v>
      </c>
      <c r="J26" s="554">
        <f t="shared" si="2"/>
        <v>865</v>
      </c>
    </row>
    <row r="27" spans="1:10" s="396" customFormat="1">
      <c r="A27" s="539">
        <v>16</v>
      </c>
      <c r="B27" s="547" t="s">
        <v>927</v>
      </c>
      <c r="C27" s="537">
        <v>1393</v>
      </c>
      <c r="D27" s="537">
        <v>38562</v>
      </c>
      <c r="E27" s="537">
        <v>35</v>
      </c>
      <c r="F27" s="553">
        <f t="shared" si="0"/>
        <v>1349670</v>
      </c>
      <c r="G27" s="537">
        <f t="shared" si="1"/>
        <v>1393</v>
      </c>
      <c r="H27" s="554">
        <v>665245</v>
      </c>
      <c r="I27" s="554">
        <v>35</v>
      </c>
      <c r="J27" s="554">
        <f t="shared" si="2"/>
        <v>19007</v>
      </c>
    </row>
    <row r="28" spans="1:10" s="396" customFormat="1">
      <c r="A28" s="539">
        <v>17</v>
      </c>
      <c r="B28" s="547" t="s">
        <v>928</v>
      </c>
      <c r="C28" s="537">
        <f>688+119</f>
        <v>807</v>
      </c>
      <c r="D28" s="537">
        <v>23180</v>
      </c>
      <c r="E28" s="537">
        <v>35</v>
      </c>
      <c r="F28" s="553">
        <f t="shared" si="0"/>
        <v>811300</v>
      </c>
      <c r="G28" s="537">
        <f t="shared" si="1"/>
        <v>807</v>
      </c>
      <c r="H28" s="554">
        <v>280665</v>
      </c>
      <c r="I28" s="554">
        <v>35</v>
      </c>
      <c r="J28" s="554">
        <f t="shared" si="2"/>
        <v>8019</v>
      </c>
    </row>
    <row r="29" spans="1:10" s="396" customFormat="1">
      <c r="A29" s="539">
        <v>18</v>
      </c>
      <c r="B29" s="547" t="s">
        <v>929</v>
      </c>
      <c r="C29" s="537">
        <f>767+293</f>
        <v>1060</v>
      </c>
      <c r="D29" s="537">
        <v>47351</v>
      </c>
      <c r="E29" s="537">
        <v>35</v>
      </c>
      <c r="F29" s="553">
        <f t="shared" si="0"/>
        <v>1657285</v>
      </c>
      <c r="G29" s="537">
        <f t="shared" si="1"/>
        <v>1060</v>
      </c>
      <c r="H29" s="554">
        <v>37710</v>
      </c>
      <c r="I29" s="554">
        <v>35</v>
      </c>
      <c r="J29" s="554">
        <f t="shared" si="2"/>
        <v>1077</v>
      </c>
    </row>
    <row r="30" spans="1:10" s="396" customFormat="1">
      <c r="A30" s="539">
        <v>19</v>
      </c>
      <c r="B30" s="547" t="s">
        <v>930</v>
      </c>
      <c r="C30" s="537">
        <f>275+152</f>
        <v>427</v>
      </c>
      <c r="D30" s="537">
        <v>15838</v>
      </c>
      <c r="E30" s="537">
        <v>35</v>
      </c>
      <c r="F30" s="553">
        <f t="shared" si="0"/>
        <v>554330</v>
      </c>
      <c r="G30" s="537">
        <v>0</v>
      </c>
      <c r="H30" s="554">
        <v>0</v>
      </c>
      <c r="I30" s="554">
        <v>35</v>
      </c>
      <c r="J30" s="554">
        <f t="shared" si="2"/>
        <v>0</v>
      </c>
    </row>
    <row r="31" spans="1:10" s="396" customFormat="1">
      <c r="A31" s="539">
        <v>20</v>
      </c>
      <c r="B31" s="547" t="s">
        <v>931</v>
      </c>
      <c r="C31" s="537">
        <v>850</v>
      </c>
      <c r="D31" s="537">
        <v>49127</v>
      </c>
      <c r="E31" s="537">
        <v>35</v>
      </c>
      <c r="F31" s="553">
        <f t="shared" si="0"/>
        <v>1719445</v>
      </c>
      <c r="G31" s="537">
        <f t="shared" si="1"/>
        <v>850</v>
      </c>
      <c r="H31" s="554">
        <v>384979</v>
      </c>
      <c r="I31" s="554">
        <v>35</v>
      </c>
      <c r="J31" s="554">
        <f t="shared" si="2"/>
        <v>10999</v>
      </c>
    </row>
    <row r="32" spans="1:10" s="396" customFormat="1">
      <c r="A32" s="539">
        <v>21</v>
      </c>
      <c r="B32" s="547" t="s">
        <v>932</v>
      </c>
      <c r="C32" s="537">
        <f>176+42</f>
        <v>218</v>
      </c>
      <c r="D32" s="537">
        <v>7245</v>
      </c>
      <c r="E32" s="537">
        <v>35</v>
      </c>
      <c r="F32" s="553">
        <f t="shared" si="0"/>
        <v>253575</v>
      </c>
      <c r="G32" s="537">
        <v>0</v>
      </c>
      <c r="H32" s="554">
        <v>0</v>
      </c>
      <c r="I32" s="554">
        <v>35</v>
      </c>
      <c r="J32" s="554">
        <f t="shared" si="2"/>
        <v>0</v>
      </c>
    </row>
    <row r="33" spans="1:10" s="396" customFormat="1">
      <c r="A33" s="539">
        <v>22</v>
      </c>
      <c r="B33" s="547" t="s">
        <v>933</v>
      </c>
      <c r="C33" s="537">
        <f>251+32</f>
        <v>283</v>
      </c>
      <c r="D33" s="537">
        <v>15619</v>
      </c>
      <c r="E33" s="537">
        <v>35</v>
      </c>
      <c r="F33" s="553">
        <f t="shared" si="0"/>
        <v>546665</v>
      </c>
      <c r="G33" s="537">
        <f t="shared" si="1"/>
        <v>283</v>
      </c>
      <c r="H33" s="554">
        <v>85343</v>
      </c>
      <c r="I33" s="554">
        <v>35</v>
      </c>
      <c r="J33" s="554">
        <f t="shared" si="2"/>
        <v>2438</v>
      </c>
    </row>
    <row r="34" spans="1:10" s="396" customFormat="1">
      <c r="A34" s="539">
        <v>23</v>
      </c>
      <c r="B34" s="547" t="s">
        <v>934</v>
      </c>
      <c r="C34" s="537">
        <v>1058</v>
      </c>
      <c r="D34" s="537">
        <v>60003</v>
      </c>
      <c r="E34" s="537">
        <v>35</v>
      </c>
      <c r="F34" s="553">
        <f t="shared" si="0"/>
        <v>2100105</v>
      </c>
      <c r="G34" s="537">
        <f t="shared" si="1"/>
        <v>1058</v>
      </c>
      <c r="H34" s="554">
        <v>610750</v>
      </c>
      <c r="I34" s="554">
        <v>35</v>
      </c>
      <c r="J34" s="554">
        <f t="shared" si="2"/>
        <v>17450</v>
      </c>
    </row>
    <row r="35" spans="1:10">
      <c r="A35" s="539">
        <v>24</v>
      </c>
      <c r="B35" s="547" t="s">
        <v>935</v>
      </c>
      <c r="C35" s="537">
        <v>659</v>
      </c>
      <c r="D35" s="537">
        <v>40371</v>
      </c>
      <c r="E35" s="537">
        <v>35</v>
      </c>
      <c r="F35" s="553">
        <f t="shared" si="0"/>
        <v>1412985</v>
      </c>
      <c r="G35" s="537">
        <f t="shared" si="1"/>
        <v>659</v>
      </c>
      <c r="H35" s="554">
        <v>1305955</v>
      </c>
      <c r="I35" s="554">
        <v>35</v>
      </c>
      <c r="J35" s="554">
        <f t="shared" si="2"/>
        <v>37313</v>
      </c>
    </row>
    <row r="36" spans="1:10">
      <c r="A36" s="539">
        <v>25</v>
      </c>
      <c r="B36" s="547" t="s">
        <v>936</v>
      </c>
      <c r="C36" s="537">
        <f>896+261</f>
        <v>1157</v>
      </c>
      <c r="D36" s="537">
        <v>77730</v>
      </c>
      <c r="E36" s="537">
        <v>35</v>
      </c>
      <c r="F36" s="553">
        <f t="shared" si="0"/>
        <v>2720550</v>
      </c>
      <c r="G36" s="537">
        <f t="shared" si="1"/>
        <v>1157</v>
      </c>
      <c r="H36" s="554">
        <v>393618</v>
      </c>
      <c r="I36" s="554">
        <v>35</v>
      </c>
      <c r="J36" s="554">
        <f t="shared" si="2"/>
        <v>11246</v>
      </c>
    </row>
    <row r="37" spans="1:10">
      <c r="A37" s="539">
        <v>26</v>
      </c>
      <c r="B37" s="547" t="s">
        <v>937</v>
      </c>
      <c r="C37" s="537">
        <f>835+202</f>
        <v>1037</v>
      </c>
      <c r="D37" s="537">
        <v>76619</v>
      </c>
      <c r="E37" s="537">
        <v>35</v>
      </c>
      <c r="F37" s="553">
        <f t="shared" si="0"/>
        <v>2681665</v>
      </c>
      <c r="G37" s="537">
        <f t="shared" si="1"/>
        <v>1037</v>
      </c>
      <c r="H37" s="554">
        <v>849900</v>
      </c>
      <c r="I37" s="554">
        <v>35</v>
      </c>
      <c r="J37" s="554">
        <f t="shared" si="2"/>
        <v>24283</v>
      </c>
    </row>
    <row r="38" spans="1:10">
      <c r="A38" s="539">
        <v>27</v>
      </c>
      <c r="B38" s="547" t="s">
        <v>938</v>
      </c>
      <c r="C38" s="537">
        <v>1207</v>
      </c>
      <c r="D38" s="537">
        <v>86133</v>
      </c>
      <c r="E38" s="537">
        <v>35</v>
      </c>
      <c r="F38" s="553">
        <f t="shared" si="0"/>
        <v>3014655</v>
      </c>
      <c r="G38" s="537">
        <f t="shared" si="1"/>
        <v>1207</v>
      </c>
      <c r="H38" s="554">
        <v>2002847</v>
      </c>
      <c r="I38" s="554">
        <v>35</v>
      </c>
      <c r="J38" s="554">
        <f t="shared" si="2"/>
        <v>57224</v>
      </c>
    </row>
    <row r="39" spans="1:10">
      <c r="A39" s="539">
        <v>28</v>
      </c>
      <c r="B39" s="547" t="s">
        <v>939</v>
      </c>
      <c r="C39" s="537">
        <v>1457</v>
      </c>
      <c r="D39" s="537">
        <v>91407</v>
      </c>
      <c r="E39" s="537">
        <v>35</v>
      </c>
      <c r="F39" s="553">
        <f t="shared" si="0"/>
        <v>3199245</v>
      </c>
      <c r="G39" s="537">
        <f t="shared" si="1"/>
        <v>1457</v>
      </c>
      <c r="H39" s="554">
        <v>1757945</v>
      </c>
      <c r="I39" s="554">
        <v>35</v>
      </c>
      <c r="J39" s="554">
        <f t="shared" si="2"/>
        <v>50227</v>
      </c>
    </row>
    <row r="40" spans="1:10">
      <c r="A40" s="539">
        <v>29</v>
      </c>
      <c r="B40" s="547" t="s">
        <v>940</v>
      </c>
      <c r="C40" s="537">
        <v>1229</v>
      </c>
      <c r="D40" s="537">
        <v>59151</v>
      </c>
      <c r="E40" s="537">
        <v>35</v>
      </c>
      <c r="F40" s="553">
        <f t="shared" si="0"/>
        <v>2070285</v>
      </c>
      <c r="G40" s="537">
        <f t="shared" si="1"/>
        <v>1229</v>
      </c>
      <c r="H40" s="554">
        <v>635097</v>
      </c>
      <c r="I40" s="554">
        <v>35</v>
      </c>
      <c r="J40" s="554">
        <f t="shared" si="2"/>
        <v>18146</v>
      </c>
    </row>
    <row r="41" spans="1:10">
      <c r="A41" s="539">
        <v>30</v>
      </c>
      <c r="B41" s="547" t="s">
        <v>941</v>
      </c>
      <c r="C41" s="537">
        <v>1167</v>
      </c>
      <c r="D41" s="537">
        <v>103836</v>
      </c>
      <c r="E41" s="537">
        <v>35</v>
      </c>
      <c r="F41" s="553">
        <f t="shared" si="0"/>
        <v>3634260</v>
      </c>
      <c r="G41" s="537">
        <f t="shared" si="1"/>
        <v>1167</v>
      </c>
      <c r="H41" s="554">
        <v>1488095</v>
      </c>
      <c r="I41" s="554">
        <v>35</v>
      </c>
      <c r="J41" s="554">
        <f t="shared" si="2"/>
        <v>42517</v>
      </c>
    </row>
    <row r="42" spans="1:10">
      <c r="A42" s="539">
        <v>31</v>
      </c>
      <c r="B42" s="547" t="s">
        <v>942</v>
      </c>
      <c r="C42" s="537">
        <v>1570</v>
      </c>
      <c r="D42" s="537">
        <v>97240</v>
      </c>
      <c r="E42" s="537">
        <v>35</v>
      </c>
      <c r="F42" s="553">
        <f t="shared" si="0"/>
        <v>3403400</v>
      </c>
      <c r="G42" s="537">
        <f t="shared" si="1"/>
        <v>1570</v>
      </c>
      <c r="H42" s="554">
        <v>804076</v>
      </c>
      <c r="I42" s="554">
        <v>35</v>
      </c>
      <c r="J42" s="554">
        <f t="shared" si="2"/>
        <v>22974</v>
      </c>
    </row>
    <row r="43" spans="1:10">
      <c r="A43" s="539">
        <v>32</v>
      </c>
      <c r="B43" s="547" t="s">
        <v>943</v>
      </c>
      <c r="C43" s="537">
        <v>769</v>
      </c>
      <c r="D43" s="537">
        <v>61930</v>
      </c>
      <c r="E43" s="537">
        <v>35</v>
      </c>
      <c r="F43" s="553">
        <f t="shared" si="0"/>
        <v>2167550</v>
      </c>
      <c r="G43" s="537">
        <f t="shared" si="1"/>
        <v>769</v>
      </c>
      <c r="H43" s="554">
        <v>1163750</v>
      </c>
      <c r="I43" s="554">
        <v>35</v>
      </c>
      <c r="J43" s="554">
        <f t="shared" si="2"/>
        <v>33250</v>
      </c>
    </row>
    <row r="44" spans="1:10">
      <c r="A44" s="539">
        <v>33</v>
      </c>
      <c r="B44" s="547" t="s">
        <v>944</v>
      </c>
      <c r="C44" s="537">
        <v>1034</v>
      </c>
      <c r="D44" s="537">
        <v>78772</v>
      </c>
      <c r="E44" s="537">
        <v>35</v>
      </c>
      <c r="F44" s="553">
        <f t="shared" si="0"/>
        <v>2757020</v>
      </c>
      <c r="G44" s="537">
        <f t="shared" si="1"/>
        <v>1034</v>
      </c>
      <c r="H44" s="554">
        <v>757440</v>
      </c>
      <c r="I44" s="554">
        <v>35</v>
      </c>
      <c r="J44" s="554">
        <f t="shared" si="2"/>
        <v>21641</v>
      </c>
    </row>
    <row r="45" spans="1:10">
      <c r="A45" s="539">
        <v>34</v>
      </c>
      <c r="B45" s="547" t="s">
        <v>945</v>
      </c>
      <c r="C45" s="537">
        <v>637</v>
      </c>
      <c r="D45" s="537">
        <v>53277</v>
      </c>
      <c r="E45" s="537">
        <v>35</v>
      </c>
      <c r="F45" s="553">
        <f t="shared" si="0"/>
        <v>1864695</v>
      </c>
      <c r="G45" s="537">
        <f t="shared" si="1"/>
        <v>637</v>
      </c>
      <c r="H45" s="554">
        <v>1063842</v>
      </c>
      <c r="I45" s="554">
        <v>35</v>
      </c>
      <c r="J45" s="554">
        <f t="shared" si="2"/>
        <v>30395</v>
      </c>
    </row>
    <row r="46" spans="1:10">
      <c r="A46" s="559" t="s">
        <v>17</v>
      </c>
      <c r="B46" s="538"/>
      <c r="C46" s="538">
        <f>SUM(C12:C45)</f>
        <v>28738</v>
      </c>
      <c r="D46" s="538">
        <f>SUM(D12:D45)</f>
        <v>1554725</v>
      </c>
      <c r="E46" s="538"/>
      <c r="F46" s="561">
        <f t="shared" si="0"/>
        <v>54415375</v>
      </c>
      <c r="G46" s="561">
        <f>SUM(G12:G45)</f>
        <v>28093</v>
      </c>
      <c r="H46" s="560">
        <f>SUM(H12:H45)</f>
        <v>19014347</v>
      </c>
      <c r="I46" s="560"/>
      <c r="J46" s="560">
        <f>SUM(J12:J45)</f>
        <v>543266</v>
      </c>
    </row>
    <row r="47" spans="1:10">
      <c r="A47" s="11"/>
      <c r="B47" s="28"/>
      <c r="C47" s="28"/>
      <c r="D47" s="20"/>
      <c r="E47" s="20"/>
      <c r="F47" s="20"/>
      <c r="G47" s="20"/>
      <c r="H47" s="20"/>
      <c r="I47" s="20"/>
      <c r="J47" s="20"/>
    </row>
    <row r="48" spans="1:10">
      <c r="A48" s="927" t="s">
        <v>717</v>
      </c>
      <c r="B48" s="927"/>
      <c r="C48" s="927"/>
      <c r="D48" s="927"/>
      <c r="E48" s="927"/>
      <c r="F48" s="927"/>
      <c r="G48" s="927"/>
      <c r="H48" s="927"/>
      <c r="I48" s="20"/>
      <c r="J48" s="20"/>
    </row>
    <row r="50" spans="1:11">
      <c r="A50" s="405"/>
      <c r="B50" s="405"/>
      <c r="C50" s="405"/>
      <c r="D50" s="405"/>
      <c r="E50" s="405"/>
      <c r="F50" s="405"/>
      <c r="G50" s="405"/>
      <c r="H50" s="405"/>
      <c r="I50" s="405"/>
      <c r="J50" s="405"/>
      <c r="K50" s="405"/>
    </row>
    <row r="51" spans="1:11">
      <c r="A51" s="405"/>
      <c r="B51" s="405"/>
      <c r="C51" s="405"/>
      <c r="D51" s="405"/>
      <c r="E51" s="405"/>
      <c r="F51" s="405"/>
      <c r="G51" s="405"/>
      <c r="H51" s="405"/>
      <c r="I51" s="405"/>
      <c r="J51" s="405"/>
      <c r="K51" s="405"/>
    </row>
    <row r="52" spans="1:11" ht="15.75">
      <c r="A52" s="405"/>
      <c r="B52" s="13"/>
      <c r="C52" s="13"/>
      <c r="D52" s="13"/>
      <c r="E52" s="13"/>
      <c r="F52" s="13"/>
      <c r="G52" s="804" t="s">
        <v>12</v>
      </c>
      <c r="H52" s="804"/>
      <c r="I52" s="804"/>
      <c r="J52" s="402"/>
      <c r="K52" s="405"/>
    </row>
    <row r="53" spans="1:11" ht="15.75">
      <c r="A53" s="803" t="s">
        <v>906</v>
      </c>
      <c r="B53" s="803"/>
      <c r="C53" s="803"/>
      <c r="D53" s="803"/>
      <c r="E53" s="375"/>
      <c r="F53" s="375"/>
      <c r="G53" s="804" t="s">
        <v>13</v>
      </c>
      <c r="H53" s="804"/>
      <c r="I53" s="804"/>
      <c r="J53" s="402"/>
      <c r="K53" s="405"/>
    </row>
    <row r="54" spans="1:11" ht="15.75">
      <c r="A54" s="804" t="s">
        <v>907</v>
      </c>
      <c r="B54" s="804"/>
      <c r="C54" s="804"/>
      <c r="D54" s="804"/>
      <c r="E54" s="375"/>
      <c r="F54" s="375"/>
      <c r="G54" s="804" t="s">
        <v>18</v>
      </c>
      <c r="H54" s="804"/>
      <c r="I54" s="804"/>
      <c r="J54" s="402"/>
      <c r="K54" s="405"/>
    </row>
    <row r="55" spans="1:11">
      <c r="A55" s="804" t="s">
        <v>908</v>
      </c>
      <c r="B55" s="804"/>
      <c r="C55" s="804"/>
      <c r="D55" s="804"/>
      <c r="E55"/>
      <c r="F55"/>
      <c r="G55" s="803" t="s">
        <v>84</v>
      </c>
      <c r="H55" s="803"/>
      <c r="I55" s="803"/>
      <c r="J55" s="403"/>
      <c r="K55" s="405"/>
    </row>
    <row r="56" spans="1:11">
      <c r="A56" s="404"/>
      <c r="B56" s="404"/>
      <c r="C56" s="404"/>
      <c r="D56" s="404"/>
      <c r="E56" s="404"/>
      <c r="F56" s="404"/>
      <c r="G56" s="405"/>
      <c r="H56" s="405"/>
      <c r="I56" s="405"/>
      <c r="J56" s="405"/>
      <c r="K56" s="405"/>
    </row>
    <row r="57" spans="1:11" ht="15.75">
      <c r="A57" s="13" t="s">
        <v>11</v>
      </c>
      <c r="B57" s="405"/>
      <c r="C57" s="405"/>
      <c r="D57" s="405"/>
      <c r="E57" s="405"/>
      <c r="F57" s="405"/>
      <c r="G57" s="405"/>
      <c r="H57" s="405"/>
      <c r="I57" s="405"/>
      <c r="J57" s="405"/>
      <c r="K57" s="405"/>
    </row>
  </sheetData>
  <mergeCells count="18">
    <mergeCell ref="E1:I1"/>
    <mergeCell ref="A2:J2"/>
    <mergeCell ref="A3:J3"/>
    <mergeCell ref="A5:J5"/>
    <mergeCell ref="A8:B8"/>
    <mergeCell ref="H8:J8"/>
    <mergeCell ref="A55:D55"/>
    <mergeCell ref="A9:A10"/>
    <mergeCell ref="B9:B10"/>
    <mergeCell ref="C9:F9"/>
    <mergeCell ref="G9:J9"/>
    <mergeCell ref="A48:H48"/>
    <mergeCell ref="G52:I52"/>
    <mergeCell ref="A53:D53"/>
    <mergeCell ref="G53:I53"/>
    <mergeCell ref="A54:D54"/>
    <mergeCell ref="G54:I54"/>
    <mergeCell ref="G55:I55"/>
  </mergeCells>
  <printOptions horizontalCentered="1"/>
  <pageMargins left="0.70866141732283472" right="0.70866141732283472" top="0.23622047244094491" bottom="0"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69"/>
  <sheetViews>
    <sheetView zoomScaleSheetLayoutView="120" workbookViewId="0">
      <selection activeCell="C20" sqref="C20"/>
    </sheetView>
  </sheetViews>
  <sheetFormatPr defaultRowHeight="12.75"/>
  <cols>
    <col min="1" max="1" width="8.7109375" style="290" customWidth="1"/>
    <col min="2" max="2" width="11.7109375" style="290" customWidth="1"/>
    <col min="3" max="3" width="114.5703125" style="290" customWidth="1"/>
    <col min="4" max="16384" width="9.140625" style="290"/>
  </cols>
  <sheetData>
    <row r="1" spans="1:7" ht="21.75" customHeight="1">
      <c r="A1" s="801" t="s">
        <v>555</v>
      </c>
      <c r="B1" s="801"/>
      <c r="C1" s="801"/>
      <c r="D1" s="801"/>
      <c r="E1" s="775"/>
      <c r="F1" s="775"/>
      <c r="G1" s="775"/>
    </row>
    <row r="2" spans="1:7">
      <c r="A2" s="329" t="s">
        <v>74</v>
      </c>
      <c r="B2" s="329" t="s">
        <v>556</v>
      </c>
      <c r="C2" s="329" t="s">
        <v>557</v>
      </c>
    </row>
    <row r="3" spans="1:7">
      <c r="A3" s="776">
        <v>1</v>
      </c>
      <c r="B3" s="777" t="s">
        <v>558</v>
      </c>
      <c r="C3" s="777" t="s">
        <v>765</v>
      </c>
    </row>
    <row r="4" spans="1:7">
      <c r="A4" s="776">
        <v>2</v>
      </c>
      <c r="B4" s="777" t="s">
        <v>559</v>
      </c>
      <c r="C4" s="777" t="s">
        <v>766</v>
      </c>
    </row>
    <row r="5" spans="1:7">
      <c r="A5" s="776">
        <v>3</v>
      </c>
      <c r="B5" s="777" t="s">
        <v>560</v>
      </c>
      <c r="C5" s="777" t="s">
        <v>767</v>
      </c>
    </row>
    <row r="6" spans="1:7">
      <c r="A6" s="776">
        <v>4</v>
      </c>
      <c r="B6" s="777" t="s">
        <v>889</v>
      </c>
      <c r="C6" s="777" t="s">
        <v>890</v>
      </c>
    </row>
    <row r="7" spans="1:7">
      <c r="A7" s="776">
        <v>5</v>
      </c>
      <c r="B7" s="777" t="s">
        <v>561</v>
      </c>
      <c r="C7" s="777" t="s">
        <v>768</v>
      </c>
    </row>
    <row r="8" spans="1:7">
      <c r="A8" s="776">
        <v>6</v>
      </c>
      <c r="B8" s="777" t="s">
        <v>562</v>
      </c>
      <c r="C8" s="777" t="s">
        <v>769</v>
      </c>
    </row>
    <row r="9" spans="1:7">
      <c r="A9" s="776">
        <v>7</v>
      </c>
      <c r="B9" s="777" t="s">
        <v>563</v>
      </c>
      <c r="C9" s="777" t="s">
        <v>770</v>
      </c>
    </row>
    <row r="10" spans="1:7">
      <c r="A10" s="776">
        <v>8</v>
      </c>
      <c r="B10" s="777" t="s">
        <v>564</v>
      </c>
      <c r="C10" s="777" t="s">
        <v>771</v>
      </c>
    </row>
    <row r="11" spans="1:7">
      <c r="A11" s="776">
        <v>9</v>
      </c>
      <c r="B11" s="777" t="s">
        <v>565</v>
      </c>
      <c r="C11" s="777" t="s">
        <v>772</v>
      </c>
    </row>
    <row r="12" spans="1:7">
      <c r="A12" s="776">
        <v>10</v>
      </c>
      <c r="B12" s="777" t="s">
        <v>566</v>
      </c>
      <c r="C12" s="777" t="s">
        <v>773</v>
      </c>
    </row>
    <row r="13" spans="1:7">
      <c r="A13" s="776">
        <v>11</v>
      </c>
      <c r="B13" s="777" t="s">
        <v>683</v>
      </c>
      <c r="C13" s="777" t="s">
        <v>684</v>
      </c>
    </row>
    <row r="14" spans="1:7">
      <c r="A14" s="776">
        <v>12</v>
      </c>
      <c r="B14" s="777" t="s">
        <v>567</v>
      </c>
      <c r="C14" s="777" t="s">
        <v>774</v>
      </c>
    </row>
    <row r="15" spans="1:7">
      <c r="A15" s="776">
        <v>13</v>
      </c>
      <c r="B15" s="777" t="s">
        <v>568</v>
      </c>
      <c r="C15" s="777" t="s">
        <v>775</v>
      </c>
    </row>
    <row r="16" spans="1:7">
      <c r="A16" s="776">
        <v>14</v>
      </c>
      <c r="B16" s="777" t="s">
        <v>569</v>
      </c>
      <c r="C16" s="777" t="s">
        <v>776</v>
      </c>
    </row>
    <row r="17" spans="1:3">
      <c r="A17" s="776">
        <v>15</v>
      </c>
      <c r="B17" s="777" t="s">
        <v>570</v>
      </c>
      <c r="C17" s="777" t="s">
        <v>777</v>
      </c>
    </row>
    <row r="18" spans="1:3">
      <c r="A18" s="776">
        <v>16</v>
      </c>
      <c r="B18" s="777" t="s">
        <v>571</v>
      </c>
      <c r="C18" s="777" t="s">
        <v>778</v>
      </c>
    </row>
    <row r="19" spans="1:3">
      <c r="A19" s="776">
        <v>17</v>
      </c>
      <c r="B19" s="777" t="s">
        <v>572</v>
      </c>
      <c r="C19" s="777" t="s">
        <v>779</v>
      </c>
    </row>
    <row r="20" spans="1:3">
      <c r="A20" s="776">
        <v>18</v>
      </c>
      <c r="B20" s="777" t="s">
        <v>573</v>
      </c>
      <c r="C20" s="777" t="s">
        <v>780</v>
      </c>
    </row>
    <row r="21" spans="1:3">
      <c r="A21" s="776">
        <v>19</v>
      </c>
      <c r="B21" s="777" t="s">
        <v>574</v>
      </c>
      <c r="C21" s="777" t="s">
        <v>781</v>
      </c>
    </row>
    <row r="22" spans="1:3">
      <c r="A22" s="776">
        <v>20</v>
      </c>
      <c r="B22" s="777" t="s">
        <v>575</v>
      </c>
      <c r="C22" s="777" t="s">
        <v>782</v>
      </c>
    </row>
    <row r="23" spans="1:3">
      <c r="A23" s="776">
        <v>21</v>
      </c>
      <c r="B23" s="777" t="s">
        <v>576</v>
      </c>
      <c r="C23" s="777" t="s">
        <v>783</v>
      </c>
    </row>
    <row r="24" spans="1:3">
      <c r="A24" s="776">
        <v>22</v>
      </c>
      <c r="B24" s="777" t="s">
        <v>577</v>
      </c>
      <c r="C24" s="777" t="s">
        <v>784</v>
      </c>
    </row>
    <row r="25" spans="1:3">
      <c r="A25" s="776">
        <v>23</v>
      </c>
      <c r="B25" s="777" t="s">
        <v>578</v>
      </c>
      <c r="C25" s="777" t="s">
        <v>785</v>
      </c>
    </row>
    <row r="26" spans="1:3">
      <c r="A26" s="776">
        <v>24</v>
      </c>
      <c r="B26" s="777" t="s">
        <v>579</v>
      </c>
      <c r="C26" s="777" t="s">
        <v>786</v>
      </c>
    </row>
    <row r="27" spans="1:3">
      <c r="A27" s="776">
        <v>25</v>
      </c>
      <c r="B27" s="777" t="s">
        <v>580</v>
      </c>
      <c r="C27" s="777" t="s">
        <v>787</v>
      </c>
    </row>
    <row r="28" spans="1:3">
      <c r="A28" s="776">
        <v>26</v>
      </c>
      <c r="B28" s="777" t="s">
        <v>581</v>
      </c>
      <c r="C28" s="777" t="s">
        <v>788</v>
      </c>
    </row>
    <row r="29" spans="1:3">
      <c r="A29" s="776">
        <v>27</v>
      </c>
      <c r="B29" s="777" t="s">
        <v>582</v>
      </c>
      <c r="C29" s="777" t="s">
        <v>789</v>
      </c>
    </row>
    <row r="30" spans="1:3">
      <c r="A30" s="776">
        <v>28</v>
      </c>
      <c r="B30" s="777" t="s">
        <v>583</v>
      </c>
      <c r="C30" s="777" t="s">
        <v>584</v>
      </c>
    </row>
    <row r="31" spans="1:3">
      <c r="A31" s="776">
        <v>29</v>
      </c>
      <c r="B31" s="777" t="s">
        <v>585</v>
      </c>
      <c r="C31" s="777" t="s">
        <v>586</v>
      </c>
    </row>
    <row r="32" spans="1:3">
      <c r="A32" s="776">
        <v>30</v>
      </c>
      <c r="B32" s="777" t="s">
        <v>587</v>
      </c>
      <c r="C32" s="777" t="s">
        <v>588</v>
      </c>
    </row>
    <row r="33" spans="1:3">
      <c r="A33" s="776">
        <v>31</v>
      </c>
      <c r="B33" s="777" t="s">
        <v>682</v>
      </c>
      <c r="C33" s="777" t="s">
        <v>681</v>
      </c>
    </row>
    <row r="34" spans="1:3">
      <c r="A34" s="776">
        <v>32</v>
      </c>
      <c r="B34" s="777" t="s">
        <v>729</v>
      </c>
      <c r="C34" s="777" t="s">
        <v>730</v>
      </c>
    </row>
    <row r="35" spans="1:3">
      <c r="A35" s="776">
        <v>33</v>
      </c>
      <c r="B35" s="777" t="s">
        <v>589</v>
      </c>
      <c r="C35" s="777" t="s">
        <v>590</v>
      </c>
    </row>
    <row r="36" spans="1:3">
      <c r="A36" s="776">
        <v>34</v>
      </c>
      <c r="B36" s="777" t="s">
        <v>591</v>
      </c>
      <c r="C36" s="777" t="s">
        <v>590</v>
      </c>
    </row>
    <row r="37" spans="1:3">
      <c r="A37" s="776">
        <v>35</v>
      </c>
      <c r="B37" s="777" t="s">
        <v>592</v>
      </c>
      <c r="C37" s="777" t="s">
        <v>593</v>
      </c>
    </row>
    <row r="38" spans="1:3">
      <c r="A38" s="776">
        <v>36</v>
      </c>
      <c r="B38" s="777" t="s">
        <v>594</v>
      </c>
      <c r="C38" s="777" t="s">
        <v>595</v>
      </c>
    </row>
    <row r="39" spans="1:3">
      <c r="A39" s="776">
        <v>37</v>
      </c>
      <c r="B39" s="777" t="s">
        <v>596</v>
      </c>
      <c r="C39" s="777" t="s">
        <v>597</v>
      </c>
    </row>
    <row r="40" spans="1:3">
      <c r="A40" s="776">
        <v>38</v>
      </c>
      <c r="B40" s="777" t="s">
        <v>598</v>
      </c>
      <c r="C40" s="777" t="s">
        <v>599</v>
      </c>
    </row>
    <row r="41" spans="1:3">
      <c r="A41" s="776">
        <v>39</v>
      </c>
      <c r="B41" s="777" t="s">
        <v>600</v>
      </c>
      <c r="C41" s="777" t="s">
        <v>601</v>
      </c>
    </row>
    <row r="42" spans="1:3">
      <c r="A42" s="776">
        <v>40</v>
      </c>
      <c r="B42" s="777" t="s">
        <v>602</v>
      </c>
      <c r="C42" s="777" t="s">
        <v>603</v>
      </c>
    </row>
    <row r="43" spans="1:3">
      <c r="A43" s="776">
        <v>41</v>
      </c>
      <c r="B43" s="777" t="s">
        <v>604</v>
      </c>
      <c r="C43" s="777" t="s">
        <v>605</v>
      </c>
    </row>
    <row r="44" spans="1:3">
      <c r="A44" s="776">
        <v>42</v>
      </c>
      <c r="B44" s="777" t="s">
        <v>606</v>
      </c>
      <c r="C44" s="777" t="s">
        <v>790</v>
      </c>
    </row>
    <row r="45" spans="1:3">
      <c r="A45" s="776">
        <v>43</v>
      </c>
      <c r="B45" s="777" t="s">
        <v>607</v>
      </c>
      <c r="C45" s="777" t="s">
        <v>608</v>
      </c>
    </row>
    <row r="46" spans="1:3">
      <c r="A46" s="776">
        <v>44</v>
      </c>
      <c r="B46" s="777" t="s">
        <v>609</v>
      </c>
      <c r="C46" s="777" t="s">
        <v>610</v>
      </c>
    </row>
    <row r="47" spans="1:3">
      <c r="A47" s="776">
        <v>45</v>
      </c>
      <c r="B47" s="777" t="s">
        <v>611</v>
      </c>
      <c r="C47" s="777" t="s">
        <v>612</v>
      </c>
    </row>
    <row r="48" spans="1:3">
      <c r="A48" s="776">
        <v>46</v>
      </c>
      <c r="B48" s="777" t="s">
        <v>613</v>
      </c>
      <c r="C48" s="777" t="s">
        <v>614</v>
      </c>
    </row>
    <row r="49" spans="1:3">
      <c r="A49" s="776">
        <v>47</v>
      </c>
      <c r="B49" s="777" t="s">
        <v>615</v>
      </c>
      <c r="C49" s="777" t="s">
        <v>616</v>
      </c>
    </row>
    <row r="50" spans="1:3">
      <c r="A50" s="776">
        <v>48</v>
      </c>
      <c r="B50" s="777" t="s">
        <v>617</v>
      </c>
      <c r="C50" s="777" t="s">
        <v>791</v>
      </c>
    </row>
    <row r="51" spans="1:3">
      <c r="A51" s="776">
        <v>49</v>
      </c>
      <c r="B51" s="777" t="s">
        <v>618</v>
      </c>
      <c r="C51" s="777" t="s">
        <v>792</v>
      </c>
    </row>
    <row r="52" spans="1:3">
      <c r="A52" s="776">
        <v>50</v>
      </c>
      <c r="B52" s="777" t="s">
        <v>619</v>
      </c>
      <c r="C52" s="777" t="s">
        <v>620</v>
      </c>
    </row>
    <row r="53" spans="1:3">
      <c r="A53" s="776">
        <v>51</v>
      </c>
      <c r="B53" s="777" t="s">
        <v>621</v>
      </c>
      <c r="C53" s="777" t="s">
        <v>622</v>
      </c>
    </row>
    <row r="54" spans="1:3">
      <c r="A54" s="776">
        <v>52</v>
      </c>
      <c r="B54" s="777" t="s">
        <v>623</v>
      </c>
      <c r="C54" s="777" t="s">
        <v>732</v>
      </c>
    </row>
    <row r="55" spans="1:3">
      <c r="A55" s="776">
        <v>53</v>
      </c>
      <c r="B55" s="777" t="s">
        <v>624</v>
      </c>
      <c r="C55" s="777" t="s">
        <v>733</v>
      </c>
    </row>
    <row r="56" spans="1:3">
      <c r="A56" s="776">
        <v>54</v>
      </c>
      <c r="B56" s="777" t="s">
        <v>625</v>
      </c>
      <c r="C56" s="777" t="s">
        <v>734</v>
      </c>
    </row>
    <row r="57" spans="1:3">
      <c r="A57" s="776">
        <v>55</v>
      </c>
      <c r="B57" s="777" t="s">
        <v>626</v>
      </c>
      <c r="C57" s="777" t="s">
        <v>735</v>
      </c>
    </row>
    <row r="58" spans="1:3">
      <c r="A58" s="776">
        <v>56</v>
      </c>
      <c r="B58" s="777" t="s">
        <v>627</v>
      </c>
      <c r="C58" s="777" t="s">
        <v>736</v>
      </c>
    </row>
    <row r="59" spans="1:3">
      <c r="A59" s="776">
        <v>57</v>
      </c>
      <c r="B59" s="777" t="s">
        <v>628</v>
      </c>
      <c r="C59" s="777" t="s">
        <v>737</v>
      </c>
    </row>
    <row r="60" spans="1:3">
      <c r="A60" s="776">
        <v>58</v>
      </c>
      <c r="B60" s="777" t="s">
        <v>629</v>
      </c>
      <c r="C60" s="777" t="s">
        <v>738</v>
      </c>
    </row>
    <row r="61" spans="1:3">
      <c r="A61" s="776">
        <v>59</v>
      </c>
      <c r="B61" s="777" t="s">
        <v>630</v>
      </c>
      <c r="C61" s="777" t="s">
        <v>739</v>
      </c>
    </row>
    <row r="62" spans="1:3">
      <c r="A62" s="776">
        <v>60</v>
      </c>
      <c r="B62" s="777" t="s">
        <v>631</v>
      </c>
      <c r="C62" s="777" t="s">
        <v>740</v>
      </c>
    </row>
    <row r="63" spans="1:3">
      <c r="A63" s="776">
        <v>61</v>
      </c>
      <c r="B63" s="777" t="s">
        <v>701</v>
      </c>
      <c r="C63" s="777" t="s">
        <v>705</v>
      </c>
    </row>
    <row r="64" spans="1:3">
      <c r="A64" s="776">
        <v>62</v>
      </c>
      <c r="B64" s="777" t="s">
        <v>632</v>
      </c>
      <c r="C64" s="777" t="s">
        <v>741</v>
      </c>
    </row>
    <row r="65" spans="1:3">
      <c r="A65" s="776">
        <v>63</v>
      </c>
      <c r="B65" s="778" t="s">
        <v>706</v>
      </c>
      <c r="C65" s="777" t="s">
        <v>742</v>
      </c>
    </row>
    <row r="66" spans="1:3">
      <c r="A66" s="776">
        <v>64</v>
      </c>
      <c r="B66" s="777" t="s">
        <v>633</v>
      </c>
      <c r="C66" s="777" t="s">
        <v>743</v>
      </c>
    </row>
    <row r="67" spans="1:3">
      <c r="A67" s="776">
        <v>65</v>
      </c>
      <c r="B67" s="777" t="s">
        <v>634</v>
      </c>
      <c r="C67" s="777" t="s">
        <v>744</v>
      </c>
    </row>
    <row r="68" spans="1:3">
      <c r="A68" s="776">
        <v>66</v>
      </c>
      <c r="B68" s="777" t="s">
        <v>685</v>
      </c>
      <c r="C68" s="777" t="s">
        <v>793</v>
      </c>
    </row>
    <row r="69" spans="1:3">
      <c r="A69" s="776">
        <v>67</v>
      </c>
      <c r="B69" s="777" t="s">
        <v>686</v>
      </c>
      <c r="C69" s="777" t="s">
        <v>778</v>
      </c>
    </row>
  </sheetData>
  <mergeCells count="1">
    <mergeCell ref="A1:D1"/>
  </mergeCells>
  <hyperlinks>
    <hyperlink ref="B3:C3" location="'AT-1-Gen_Info '!A1" display="AT- 1"/>
    <hyperlink ref="B4:C4" location="'AT-2-S1 BUDGET'!A1" display="AT - 2"/>
    <hyperlink ref="B5:C5" location="AT_2A_fundflow!A1" display="AT - 2 A"/>
    <hyperlink ref="B6:C6" location="'AT-2B_DBT'!A1" display="AT - 2 B"/>
    <hyperlink ref="B7:C7" location="'AT-3'!A1" display="AT - 3"/>
    <hyperlink ref="B8:C8" location="'AT3A_cvrg(Insti)_PY'!A1" display="AT- 3 A"/>
    <hyperlink ref="B9:C9" location="'AT3B_cvrg(Insti)_UPY '!A1" display="AT- 3 B"/>
    <hyperlink ref="B10:C10" location="'AT3C_cvrg(Insti)_UPY '!A1" display="AT-3 C"/>
    <hyperlink ref="B11:C11" location="'AT-4B'!A1" display="AT - 4"/>
    <hyperlink ref="B12:C12" location="'enrolment vs availed_UPY'!A1" display="AT - 4 A"/>
    <hyperlink ref="B13:C13" location="'AT-4B'!A1" display="AT - 4 B"/>
    <hyperlink ref="B14:C14" location="T5_PLAN_vs_PRFM!A1" display="AT - 5"/>
    <hyperlink ref="B15:C15" location="'T5A_PLAN_vs_PRFM '!A1" display="AT - 5 A"/>
    <hyperlink ref="B16:C16" location="'T5B_PLAN_vs_PRFM  (2)'!A1" display="AT - 5 B"/>
    <hyperlink ref="B17:C17" location="'T5C_Drought_PLAN_vs_PRFM '!A1" display="AT - 5 C"/>
    <hyperlink ref="B18:C18" location="'T5D_Drought_PLAN_vs_PRFM  '!A1" display="AT - 5 D"/>
    <hyperlink ref="B19:C19" location="T6_FG_py_Utlsn!A1" display="AT - 6"/>
    <hyperlink ref="B20:C20" location="'T6A_FG_Upy_Utlsn '!A1" display="AT - 6 A"/>
    <hyperlink ref="B21:C21" location="T6B_Pay_FG_FCI_Pry!A1" display="AT - 6 B"/>
    <hyperlink ref="B22:C22" location="T6C_Coarse_Grain!A1" display="AT - 6 C"/>
    <hyperlink ref="B23:C23" location="T7_CC_PY_Utlsn!A1" display="AT - 7"/>
    <hyperlink ref="B24:C24" location="'T7ACC_UPY_Utlsn '!A1" display="AT - 7 A"/>
    <hyperlink ref="B25:C25" location="'AT-8_Hon_CCH_Pry'!A1" display="AT - 8"/>
    <hyperlink ref="B26:C26" location="'AT-8A_Hon_CCH_UPry'!A1" display="AT - 8 A"/>
    <hyperlink ref="B27:C27" location="AT9_TA!A1" display="AT - 9"/>
    <hyperlink ref="B28:C28" location="AT10_MME!A1" display="AT - 10"/>
    <hyperlink ref="B29:C29" location="AT10A_!A1" display="AT - 10 A"/>
    <hyperlink ref="B30:C30" location="'AT-10 B'!A1" display="AT - 10 B"/>
    <hyperlink ref="B31:C31" location="'AT-10 C'!A1" display="AT - 10 C"/>
    <hyperlink ref="B32:C32" location="'AT-10D'!A1" display="AT - 10 D"/>
    <hyperlink ref="B33:C33" location="'AT-10 E'!A1" display="AT - 10 E "/>
    <hyperlink ref="B34:C34" location="'AT-10 F'!A1" display="AT - 10 F"/>
    <hyperlink ref="B35:C35" location="'AT11_KS Year wise'!A1" display="AT - 11"/>
    <hyperlink ref="B36:C36" location="'AT11A_KS-District wise'!A1" display="AT - 11 A"/>
    <hyperlink ref="B37:C37" location="'AT12_KD-New'!A1" display="AT - 12"/>
    <hyperlink ref="B38:C38" location="'AT12A_KD-Replacement'!A1" display="AT - 12 A"/>
    <hyperlink ref="B39:C39" location="'Mode of cooking'!A1" display="AT - 13"/>
    <hyperlink ref="B40:C40" location="'AT-14'!A1" display="AT - 14"/>
    <hyperlink ref="B41:C41" location="'AT-14 A'!A1" display="AT - 14 A"/>
    <hyperlink ref="C42" location="'AT-15'!A1" display="Contribution by community in form of  Tithi Bhojan or any other similar practice"/>
    <hyperlink ref="B42" location="'AT-15'!A1" display="AT - 15"/>
    <hyperlink ref="B43:C43" location="'AT-16'!A1" display="AT - 16"/>
    <hyperlink ref="B44:C44" location="'AT_17_Coverage-RBSK '!A1" display="AT - 17"/>
    <hyperlink ref="B45:C45" location="'AT18_Details_Community '!A1" display="AT - 18"/>
    <hyperlink ref="C46" location="AT_19_Impl_Agency!A1" display="Responsibility of Implementation"/>
    <hyperlink ref="B46" location="AT_19_Impl_Agency!A1" display="AT - 19"/>
    <hyperlink ref="B47:C47" location="'AT_20_CentralCookingagency '!A1" display="AT - 20"/>
    <hyperlink ref="B48:C48" location="'AT-21'!A1" display="AT - 21"/>
    <hyperlink ref="B49:C49" location="'AT-22'!A1" display="AT - 22"/>
    <hyperlink ref="B50:C50" location="'AT-23 MIS'!A1" display="AT - 23"/>
    <hyperlink ref="B51:C51" location="'AT-23A _AMS'!A1" display="AT - 23 A"/>
    <hyperlink ref="B52:C52" location="'AT-24'!A1" display="AT - 24"/>
    <hyperlink ref="B53:C53" location="'AT-25'!A1" display="AT - 25"/>
    <hyperlink ref="B54:C54" location="AT26_NoWD!A1" display="AT - 26"/>
    <hyperlink ref="B55:C55" location="AT26A_NoWD!A1" display="AT - 26 A"/>
    <hyperlink ref="B56:C56" location="AT27_Req_FG_CA_Pry!A1" display="AT - 27"/>
    <hyperlink ref="B57:C57" location="'AT27A_Req_FG_CA_U Pry '!A1" display="AT - 27 A"/>
    <hyperlink ref="B58:C58" location="'AT27B_Req_FG_CA_N CLP'!A1" display="AT - 27 B"/>
    <hyperlink ref="B59:C59" location="'AT27C_Req_FG_Drought -Pry '!A1" display="AT - 27 C"/>
    <hyperlink ref="B60:C60" location="'AT27D_Req_FG_Drought -UPry '!A1" display="AT - 27 D"/>
    <hyperlink ref="B61:C61" location="AT_28_RqmtKitchen!A1" display="AT - 28"/>
    <hyperlink ref="B62:C62" location="'AT-28A_RqmtPlinthArea'!A1" display="AT - 28 A"/>
    <hyperlink ref="B63:C63" location="'AT-28B_Kitchen repair'!A1" display="AT - 28 B"/>
    <hyperlink ref="B64:C64" location="'AT29_Replacement KD '!A1" display="AT - 29"/>
    <hyperlink ref="B65:C65" location="'AT29_A_Replacement KD'!A1" display="AT- 29 A"/>
    <hyperlink ref="B66:C66" location="'AT-30_Coook-cum-Helper'!A1" display="AT - 30"/>
    <hyperlink ref="B67:C67" location="'AT_31_Budget_provision '!A1" display="AT - 31"/>
    <hyperlink ref="B68:C68" location="'AT32_Drought Pry Util'!A1" display="AT - 32"/>
    <hyperlink ref="B69:C69" location="'AT-32A Drought UPry Util'!A1" display="AT - 32 A"/>
  </hyperlinks>
  <printOptions horizontalCentered="1"/>
  <pageMargins left="0.70866141732283472" right="0.70866141732283472" top="0.23622047244094491" bottom="0"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N56"/>
  <sheetViews>
    <sheetView view="pageBreakPreview" topLeftCell="A21" zoomScale="90" zoomScaleSheetLayoutView="90" workbookViewId="0">
      <selection activeCell="C30" sqref="C30:L30"/>
    </sheetView>
  </sheetViews>
  <sheetFormatPr defaultRowHeight="12.75"/>
  <cols>
    <col min="1" max="1" width="6.7109375" style="15" customWidth="1"/>
    <col min="2" max="2" width="18.7109375" style="15" customWidth="1"/>
    <col min="3" max="3" width="12" style="15" customWidth="1"/>
    <col min="4" max="4" width="11.140625" style="15" customWidth="1"/>
    <col min="5" max="5" width="10.5703125" style="15" bestFit="1" customWidth="1"/>
    <col min="6" max="6" width="13" style="15" customWidth="1"/>
    <col min="7" max="7" width="15.140625" style="15" customWidth="1"/>
    <col min="8" max="8" width="12.42578125" style="15" customWidth="1"/>
    <col min="9" max="9" width="12.140625" style="15" customWidth="1"/>
    <col min="10" max="10" width="11.7109375" style="15" customWidth="1"/>
    <col min="11" max="11" width="12" style="15" customWidth="1"/>
    <col min="12" max="12" width="14.140625" style="15" customWidth="1"/>
    <col min="13" max="16384" width="9.140625" style="15"/>
  </cols>
  <sheetData>
    <row r="1" spans="1:14" customFormat="1">
      <c r="D1" s="33"/>
      <c r="E1" s="33"/>
      <c r="F1" s="33"/>
      <c r="G1" s="33"/>
      <c r="H1" s="33"/>
      <c r="I1" s="33"/>
      <c r="J1" s="33"/>
      <c r="K1" s="33"/>
      <c r="L1" s="747" t="s">
        <v>63</v>
      </c>
    </row>
    <row r="2" spans="1:14" customFormat="1" ht="15">
      <c r="A2" s="920" t="s">
        <v>0</v>
      </c>
      <c r="B2" s="920"/>
      <c r="C2" s="920"/>
      <c r="D2" s="920"/>
      <c r="E2" s="920"/>
      <c r="F2" s="920"/>
      <c r="G2" s="920"/>
      <c r="H2" s="920"/>
      <c r="I2" s="920"/>
      <c r="J2" s="920"/>
      <c r="K2" s="920"/>
      <c r="L2" s="920"/>
    </row>
    <row r="3" spans="1:14" customFormat="1" ht="20.25">
      <c r="A3" s="848" t="s">
        <v>745</v>
      </c>
      <c r="B3" s="848"/>
      <c r="C3" s="848"/>
      <c r="D3" s="848"/>
      <c r="E3" s="848"/>
      <c r="F3" s="848"/>
      <c r="G3" s="848"/>
      <c r="H3" s="848"/>
      <c r="I3" s="848"/>
      <c r="J3" s="848"/>
      <c r="K3" s="848"/>
      <c r="L3" s="848"/>
    </row>
    <row r="4" spans="1:14" customFormat="1" ht="10.5" customHeight="1"/>
    <row r="5" spans="1:14" ht="19.5" customHeight="1">
      <c r="A5" s="925" t="s">
        <v>810</v>
      </c>
      <c r="B5" s="925"/>
      <c r="C5" s="925"/>
      <c r="D5" s="925"/>
      <c r="E5" s="925"/>
      <c r="F5" s="925"/>
      <c r="G5" s="925"/>
      <c r="H5" s="925"/>
      <c r="I5" s="925"/>
      <c r="J5" s="925"/>
      <c r="K5" s="925"/>
      <c r="L5" s="925"/>
    </row>
    <row r="6" spans="1:14">
      <c r="A6" s="21"/>
      <c r="B6" s="21"/>
      <c r="C6" s="21"/>
      <c r="D6" s="21"/>
      <c r="E6" s="21"/>
      <c r="F6" s="21"/>
      <c r="G6" s="21"/>
      <c r="H6" s="21"/>
      <c r="I6" s="21"/>
      <c r="J6" s="21"/>
      <c r="K6" s="21"/>
      <c r="L6" s="21"/>
    </row>
    <row r="7" spans="1:14">
      <c r="A7" s="850" t="s">
        <v>948</v>
      </c>
      <c r="B7" s="850"/>
      <c r="F7" s="929" t="s">
        <v>19</v>
      </c>
      <c r="G7" s="929"/>
      <c r="H7" s="929"/>
      <c r="I7" s="929"/>
      <c r="J7" s="929"/>
      <c r="K7" s="929"/>
      <c r="L7" s="929"/>
    </row>
    <row r="8" spans="1:14">
      <c r="A8" s="14"/>
      <c r="F8" s="16"/>
      <c r="G8" s="101"/>
      <c r="H8" s="101"/>
      <c r="I8" s="914" t="s">
        <v>831</v>
      </c>
      <c r="J8" s="914"/>
      <c r="K8" s="914"/>
      <c r="L8" s="914"/>
    </row>
    <row r="9" spans="1:14" s="14" customFormat="1">
      <c r="A9" s="834" t="s">
        <v>2</v>
      </c>
      <c r="B9" s="834" t="s">
        <v>3</v>
      </c>
      <c r="C9" s="821" t="s">
        <v>20</v>
      </c>
      <c r="D9" s="822"/>
      <c r="E9" s="822"/>
      <c r="F9" s="822"/>
      <c r="G9" s="822"/>
      <c r="H9" s="821" t="s">
        <v>42</v>
      </c>
      <c r="I9" s="822"/>
      <c r="J9" s="822"/>
      <c r="K9" s="822"/>
      <c r="L9" s="822"/>
      <c r="M9" s="27"/>
      <c r="N9" s="28"/>
    </row>
    <row r="10" spans="1:14" s="14" customFormat="1" ht="77.45" customHeight="1">
      <c r="A10" s="834"/>
      <c r="B10" s="834"/>
      <c r="C10" s="340" t="s">
        <v>850</v>
      </c>
      <c r="D10" s="340" t="s">
        <v>826</v>
      </c>
      <c r="E10" s="5" t="s">
        <v>70</v>
      </c>
      <c r="F10" s="5" t="s">
        <v>71</v>
      </c>
      <c r="G10" s="5" t="s">
        <v>660</v>
      </c>
      <c r="H10" s="340" t="s">
        <v>850</v>
      </c>
      <c r="I10" s="340" t="s">
        <v>826</v>
      </c>
      <c r="J10" s="5" t="s">
        <v>70</v>
      </c>
      <c r="K10" s="5" t="s">
        <v>71</v>
      </c>
      <c r="L10" s="5" t="s">
        <v>661</v>
      </c>
    </row>
    <row r="11" spans="1:14" s="14" customFormat="1">
      <c r="A11" s="5">
        <v>1</v>
      </c>
      <c r="B11" s="5">
        <v>2</v>
      </c>
      <c r="C11" s="5">
        <v>3</v>
      </c>
      <c r="D11" s="5">
        <v>4</v>
      </c>
      <c r="E11" s="5">
        <v>5</v>
      </c>
      <c r="F11" s="5">
        <v>6</v>
      </c>
      <c r="G11" s="5">
        <v>7</v>
      </c>
      <c r="H11" s="5">
        <v>8</v>
      </c>
      <c r="I11" s="5">
        <v>9</v>
      </c>
      <c r="J11" s="5">
        <v>10</v>
      </c>
      <c r="K11" s="5">
        <v>11</v>
      </c>
      <c r="L11" s="5">
        <v>12</v>
      </c>
    </row>
    <row r="12" spans="1:14">
      <c r="A12" s="539">
        <v>1</v>
      </c>
      <c r="B12" s="547" t="s">
        <v>912</v>
      </c>
      <c r="C12" s="562">
        <v>1081.2169999999999</v>
      </c>
      <c r="D12" s="562">
        <v>6.4304000000001906</v>
      </c>
      <c r="E12" s="562">
        <v>707</v>
      </c>
      <c r="F12" s="562">
        <v>679.93975</v>
      </c>
      <c r="G12" s="562">
        <f>D12+E12-F12</f>
        <v>33.490650000000187</v>
      </c>
      <c r="H12" s="563">
        <v>250.86386571428568</v>
      </c>
      <c r="I12" s="748">
        <v>2.9655799999999886</v>
      </c>
      <c r="J12" s="563">
        <v>130</v>
      </c>
      <c r="K12" s="563">
        <v>127.36195000000001</v>
      </c>
      <c r="L12" s="562">
        <f>I12+J12-K12</f>
        <v>5.6036299999999812</v>
      </c>
    </row>
    <row r="13" spans="1:14">
      <c r="A13" s="539">
        <v>2</v>
      </c>
      <c r="B13" s="547" t="s">
        <v>913</v>
      </c>
      <c r="C13" s="562">
        <v>1496.4960000000001</v>
      </c>
      <c r="D13" s="562">
        <v>2.1449900000000071</v>
      </c>
      <c r="E13" s="562">
        <v>846.9</v>
      </c>
      <c r="F13" s="562">
        <v>799.99391666666702</v>
      </c>
      <c r="G13" s="562">
        <f t="shared" ref="G13:G45" si="0">D13+E13-F13</f>
        <v>49.051073333332965</v>
      </c>
      <c r="H13" s="563">
        <v>347.17940571428574</v>
      </c>
      <c r="I13" s="748">
        <v>3.9931200000000047</v>
      </c>
      <c r="J13" s="563">
        <v>144.30000000000001</v>
      </c>
      <c r="K13" s="563">
        <v>128.04878333333329</v>
      </c>
      <c r="L13" s="562">
        <f t="shared" ref="L13:L45" si="1">I13+J13-K13</f>
        <v>20.244336666666726</v>
      </c>
    </row>
    <row r="14" spans="1:14">
      <c r="A14" s="539">
        <v>3</v>
      </c>
      <c r="B14" s="547" t="s">
        <v>914</v>
      </c>
      <c r="C14" s="562">
        <v>1590.787</v>
      </c>
      <c r="D14" s="562">
        <v>3.6730000000000018</v>
      </c>
      <c r="E14" s="562">
        <v>1205.912</v>
      </c>
      <c r="F14" s="562">
        <v>1089.3685</v>
      </c>
      <c r="G14" s="562">
        <f t="shared" si="0"/>
        <v>120.2165</v>
      </c>
      <c r="H14" s="563">
        <v>361.54928571428576</v>
      </c>
      <c r="I14" s="748">
        <v>3.6410000000000196</v>
      </c>
      <c r="J14" s="563">
        <v>232.048</v>
      </c>
      <c r="K14" s="563">
        <v>201.9102</v>
      </c>
      <c r="L14" s="562">
        <f t="shared" si="1"/>
        <v>33.778800000000018</v>
      </c>
    </row>
    <row r="15" spans="1:14">
      <c r="A15" s="539">
        <v>4</v>
      </c>
      <c r="B15" s="547" t="s">
        <v>915</v>
      </c>
      <c r="C15" s="562">
        <v>1500.338</v>
      </c>
      <c r="D15" s="562">
        <v>2.3861842400001478</v>
      </c>
      <c r="E15" s="562">
        <v>973.86400000000003</v>
      </c>
      <c r="F15" s="562">
        <v>948.08354612903236</v>
      </c>
      <c r="G15" s="562">
        <f t="shared" si="0"/>
        <v>28.166638110967824</v>
      </c>
      <c r="H15" s="563">
        <v>330.40798571428576</v>
      </c>
      <c r="I15" s="748">
        <v>2.5137000000000285</v>
      </c>
      <c r="J15" s="563">
        <v>205.44200000000001</v>
      </c>
      <c r="K15" s="563">
        <v>189.34135387096774</v>
      </c>
      <c r="L15" s="562">
        <f t="shared" si="1"/>
        <v>18.614346129032299</v>
      </c>
    </row>
    <row r="16" spans="1:14" ht="13.5" customHeight="1">
      <c r="A16" s="539">
        <v>5</v>
      </c>
      <c r="B16" s="547" t="s">
        <v>916</v>
      </c>
      <c r="C16" s="562">
        <v>1403.752</v>
      </c>
      <c r="D16" s="562">
        <v>3.7435000000002674</v>
      </c>
      <c r="E16" s="562">
        <v>998.79999999999984</v>
      </c>
      <c r="F16" s="562">
        <v>968.61599999999999</v>
      </c>
      <c r="G16" s="562">
        <f t="shared" si="0"/>
        <v>33.927500000000123</v>
      </c>
      <c r="H16" s="563">
        <v>321.74628571428576</v>
      </c>
      <c r="I16" s="748">
        <v>0.68000000000000682</v>
      </c>
      <c r="J16" s="563">
        <v>62.900000000000006</v>
      </c>
      <c r="K16" s="563">
        <v>38.182000000000002</v>
      </c>
      <c r="L16" s="562">
        <f t="shared" si="1"/>
        <v>25.39800000000001</v>
      </c>
    </row>
    <row r="17" spans="1:12" s="405" customFormat="1" ht="13.5" customHeight="1">
      <c r="A17" s="539">
        <v>6</v>
      </c>
      <c r="B17" s="547" t="s">
        <v>917</v>
      </c>
      <c r="C17" s="562">
        <v>595.29399999999998</v>
      </c>
      <c r="D17" s="562">
        <v>1.8990000000001146</v>
      </c>
      <c r="E17" s="562">
        <v>442.56400000000002</v>
      </c>
      <c r="F17" s="562">
        <v>400.77600000000007</v>
      </c>
      <c r="G17" s="562">
        <f t="shared" si="0"/>
        <v>43.687000000000069</v>
      </c>
      <c r="H17" s="563">
        <v>140.15828571428574</v>
      </c>
      <c r="I17" s="748">
        <v>0</v>
      </c>
      <c r="J17" s="563">
        <v>69.957000000000008</v>
      </c>
      <c r="K17" s="563">
        <v>54.518999999999998</v>
      </c>
      <c r="L17" s="562">
        <f t="shared" si="1"/>
        <v>15.438000000000009</v>
      </c>
    </row>
    <row r="18" spans="1:12" s="405" customFormat="1" ht="13.5" customHeight="1">
      <c r="A18" s="539">
        <v>7</v>
      </c>
      <c r="B18" s="547" t="s">
        <v>918</v>
      </c>
      <c r="C18" s="562">
        <v>683.92899999999997</v>
      </c>
      <c r="D18" s="562">
        <v>6.1114999999998645</v>
      </c>
      <c r="E18" s="562">
        <v>509.08800000000002</v>
      </c>
      <c r="F18" s="562">
        <v>476.28600000000006</v>
      </c>
      <c r="G18" s="562">
        <f t="shared" si="0"/>
        <v>38.913499999999885</v>
      </c>
      <c r="H18" s="563">
        <v>160.16128571428573</v>
      </c>
      <c r="I18" s="748">
        <v>1.875</v>
      </c>
      <c r="J18" s="563">
        <v>87.158000000000001</v>
      </c>
      <c r="K18" s="563">
        <v>81.855999999999995</v>
      </c>
      <c r="L18" s="562">
        <f t="shared" si="1"/>
        <v>7.1770000000000067</v>
      </c>
    </row>
    <row r="19" spans="1:12" s="405" customFormat="1">
      <c r="A19" s="539">
        <v>8</v>
      </c>
      <c r="B19" s="547" t="s">
        <v>919</v>
      </c>
      <c r="C19" s="562">
        <v>1048.1310000000001</v>
      </c>
      <c r="D19" s="562">
        <v>7.8229999999998654</v>
      </c>
      <c r="E19" s="562">
        <v>777.99200000000008</v>
      </c>
      <c r="F19" s="562">
        <v>785.34699999999998</v>
      </c>
      <c r="G19" s="562">
        <f t="shared" si="0"/>
        <v>0.46799999999996089</v>
      </c>
      <c r="H19" s="563">
        <v>241.22028571428564</v>
      </c>
      <c r="I19" s="748">
        <v>1.4199999999999875</v>
      </c>
      <c r="J19" s="563">
        <v>166.952</v>
      </c>
      <c r="K19" s="563">
        <v>150.327</v>
      </c>
      <c r="L19" s="562">
        <f t="shared" si="1"/>
        <v>18.044999999999987</v>
      </c>
    </row>
    <row r="20" spans="1:12" s="405" customFormat="1">
      <c r="A20" s="539">
        <v>9</v>
      </c>
      <c r="B20" s="547" t="s">
        <v>920</v>
      </c>
      <c r="C20" s="562">
        <v>887.45999999999992</v>
      </c>
      <c r="D20" s="562">
        <v>12.001380000000154</v>
      </c>
      <c r="E20" s="562">
        <v>650.40899999999999</v>
      </c>
      <c r="F20" s="562">
        <v>548.19299999999998</v>
      </c>
      <c r="G20" s="562">
        <f t="shared" si="0"/>
        <v>114.21738000000016</v>
      </c>
      <c r="H20" s="563">
        <v>207.73728571428569</v>
      </c>
      <c r="I20" s="748">
        <v>3.8789999999999907</v>
      </c>
      <c r="J20" s="563">
        <v>141.37100000000001</v>
      </c>
      <c r="K20" s="563">
        <v>131.089</v>
      </c>
      <c r="L20" s="562">
        <f t="shared" si="1"/>
        <v>14.161000000000001</v>
      </c>
    </row>
    <row r="21" spans="1:12" s="405" customFormat="1">
      <c r="A21" s="539">
        <v>10</v>
      </c>
      <c r="B21" s="547" t="s">
        <v>921</v>
      </c>
      <c r="C21" s="562">
        <v>1118.6599999999999</v>
      </c>
      <c r="D21" s="562">
        <v>4.49350000000004</v>
      </c>
      <c r="E21" s="562">
        <v>772.1</v>
      </c>
      <c r="F21" s="562">
        <v>658.05799999999999</v>
      </c>
      <c r="G21" s="562">
        <f t="shared" si="0"/>
        <v>118.53550000000007</v>
      </c>
      <c r="H21" s="563">
        <v>259.11456571428573</v>
      </c>
      <c r="I21" s="748">
        <v>0.93027999999998201</v>
      </c>
      <c r="J21" s="563">
        <v>125</v>
      </c>
      <c r="K21" s="563">
        <v>98.34</v>
      </c>
      <c r="L21" s="562">
        <f t="shared" si="1"/>
        <v>27.590279999999979</v>
      </c>
    </row>
    <row r="22" spans="1:12" s="405" customFormat="1">
      <c r="A22" s="539">
        <v>11</v>
      </c>
      <c r="B22" s="547" t="s">
        <v>922</v>
      </c>
      <c r="C22" s="562">
        <v>837.94200000000012</v>
      </c>
      <c r="D22" s="562">
        <v>14.07300000000032</v>
      </c>
      <c r="E22" s="562">
        <v>657.35500000000002</v>
      </c>
      <c r="F22" s="562">
        <v>572.11999999999989</v>
      </c>
      <c r="G22" s="562">
        <f t="shared" si="0"/>
        <v>99.308000000000447</v>
      </c>
      <c r="H22" s="563">
        <v>201.81250571428569</v>
      </c>
      <c r="I22" s="748">
        <v>7.9342199999999821</v>
      </c>
      <c r="J22" s="563">
        <v>120.41800000000001</v>
      </c>
      <c r="K22" s="563">
        <v>113.38999999999999</v>
      </c>
      <c r="L22" s="562">
        <f t="shared" si="1"/>
        <v>14.962220000000002</v>
      </c>
    </row>
    <row r="23" spans="1:12" s="405" customFormat="1">
      <c r="A23" s="539">
        <v>12</v>
      </c>
      <c r="B23" s="547" t="s">
        <v>923</v>
      </c>
      <c r="C23" s="562">
        <v>2037.3679999999997</v>
      </c>
      <c r="D23" s="562">
        <v>5.3769999999997253</v>
      </c>
      <c r="E23" s="562">
        <v>1277.8519999999999</v>
      </c>
      <c r="F23" s="562">
        <v>1179.8539999999998</v>
      </c>
      <c r="G23" s="562">
        <f t="shared" si="0"/>
        <v>103.37499999999977</v>
      </c>
      <c r="H23" s="563">
        <v>460.3932857142857</v>
      </c>
      <c r="I23" s="748">
        <v>0.84700000000000131</v>
      </c>
      <c r="J23" s="563">
        <v>144.38999999999999</v>
      </c>
      <c r="K23" s="563">
        <v>111.401</v>
      </c>
      <c r="L23" s="562">
        <f t="shared" si="1"/>
        <v>33.835999999999999</v>
      </c>
    </row>
    <row r="24" spans="1:12" s="405" customFormat="1">
      <c r="A24" s="539">
        <v>13</v>
      </c>
      <c r="B24" s="547" t="s">
        <v>924</v>
      </c>
      <c r="C24" s="562">
        <v>1068.837</v>
      </c>
      <c r="D24" s="562">
        <v>11.124899999999684</v>
      </c>
      <c r="E24" s="562">
        <v>790.80799999999999</v>
      </c>
      <c r="F24" s="562">
        <v>659.51099999999997</v>
      </c>
      <c r="G24" s="562">
        <f t="shared" si="0"/>
        <v>142.42189999999971</v>
      </c>
      <c r="H24" s="563">
        <v>246.42528571428571</v>
      </c>
      <c r="I24" s="748">
        <v>2.7110000000000127</v>
      </c>
      <c r="J24" s="563">
        <v>169.59899999999999</v>
      </c>
      <c r="K24" s="563">
        <v>117.96099999999998</v>
      </c>
      <c r="L24" s="562">
        <f t="shared" si="1"/>
        <v>54.349000000000018</v>
      </c>
    </row>
    <row r="25" spans="1:12" s="405" customFormat="1">
      <c r="A25" s="539">
        <v>14</v>
      </c>
      <c r="B25" s="547" t="s">
        <v>925</v>
      </c>
      <c r="C25" s="562">
        <v>769.52099999999996</v>
      </c>
      <c r="D25" s="562">
        <v>8.11099999999999</v>
      </c>
      <c r="E25" s="562">
        <v>566.29999999999995</v>
      </c>
      <c r="F25" s="562">
        <v>539.9</v>
      </c>
      <c r="G25" s="562">
        <f t="shared" si="0"/>
        <v>34.510999999999967</v>
      </c>
      <c r="H25" s="563">
        <v>179.69528571428572</v>
      </c>
      <c r="I25" s="748">
        <v>1.6029999999999944</v>
      </c>
      <c r="J25" s="563">
        <v>77.5</v>
      </c>
      <c r="K25" s="563">
        <v>77.990000000000009</v>
      </c>
      <c r="L25" s="562">
        <f t="shared" si="1"/>
        <v>1.1129999999999853</v>
      </c>
    </row>
    <row r="26" spans="1:12" s="405" customFormat="1">
      <c r="A26" s="539">
        <v>15</v>
      </c>
      <c r="B26" s="547" t="s">
        <v>926</v>
      </c>
      <c r="C26" s="562">
        <v>333.09100000000007</v>
      </c>
      <c r="D26" s="562">
        <v>13.250940539999959</v>
      </c>
      <c r="E26" s="562">
        <v>164.58099999999999</v>
      </c>
      <c r="F26" s="562">
        <v>177.42099999999999</v>
      </c>
      <c r="G26" s="562">
        <f t="shared" si="0"/>
        <v>0.41094053999995594</v>
      </c>
      <c r="H26" s="563">
        <v>38.954000000000001</v>
      </c>
      <c r="I26" s="748">
        <v>0</v>
      </c>
      <c r="J26" s="563">
        <v>0</v>
      </c>
      <c r="K26" s="563">
        <v>0</v>
      </c>
      <c r="L26" s="562">
        <f t="shared" si="1"/>
        <v>0</v>
      </c>
    </row>
    <row r="27" spans="1:12" s="405" customFormat="1">
      <c r="A27" s="539">
        <v>16</v>
      </c>
      <c r="B27" s="547" t="s">
        <v>927</v>
      </c>
      <c r="C27" s="562">
        <v>1113.6859999999999</v>
      </c>
      <c r="D27" s="562">
        <v>12.107349999999769</v>
      </c>
      <c r="E27" s="562">
        <v>823.86</v>
      </c>
      <c r="F27" s="562">
        <v>820.53599999999994</v>
      </c>
      <c r="G27" s="562">
        <f t="shared" si="0"/>
        <v>15.431349999999838</v>
      </c>
      <c r="H27" s="563">
        <v>254.49578571428574</v>
      </c>
      <c r="I27" s="748">
        <v>1.0335000000000036</v>
      </c>
      <c r="J27" s="563">
        <v>103.8</v>
      </c>
      <c r="K27" s="563">
        <v>102.20099999999999</v>
      </c>
      <c r="L27" s="562">
        <f t="shared" si="1"/>
        <v>2.6325000000000074</v>
      </c>
    </row>
    <row r="28" spans="1:12" s="405" customFormat="1">
      <c r="A28" s="539">
        <v>17</v>
      </c>
      <c r="B28" s="547" t="s">
        <v>928</v>
      </c>
      <c r="C28" s="562">
        <v>783.99699999999996</v>
      </c>
      <c r="D28" s="562">
        <v>5.8440000000000509</v>
      </c>
      <c r="E28" s="562">
        <v>583.5</v>
      </c>
      <c r="F28" s="562">
        <v>567.97</v>
      </c>
      <c r="G28" s="562">
        <f t="shared" si="0"/>
        <v>21.374000000000024</v>
      </c>
      <c r="H28" s="563">
        <v>184.86128571428569</v>
      </c>
      <c r="I28" s="748">
        <v>4.0389999999999873</v>
      </c>
      <c r="J28" s="563">
        <v>37</v>
      </c>
      <c r="K28" s="563">
        <v>31.59</v>
      </c>
      <c r="L28" s="562">
        <f t="shared" si="1"/>
        <v>9.4489999999999874</v>
      </c>
    </row>
    <row r="29" spans="1:12" s="405" customFormat="1">
      <c r="A29" s="539">
        <v>18</v>
      </c>
      <c r="B29" s="547" t="s">
        <v>929</v>
      </c>
      <c r="C29" s="562">
        <v>1345.1</v>
      </c>
      <c r="D29" s="562">
        <v>0.9259999999997035</v>
      </c>
      <c r="E29" s="562">
        <v>838.36899999999991</v>
      </c>
      <c r="F29" s="562">
        <v>806.13900000000001</v>
      </c>
      <c r="G29" s="562">
        <f t="shared" si="0"/>
        <v>33.155999999999608</v>
      </c>
      <c r="H29" s="563">
        <v>171.63200000000001</v>
      </c>
      <c r="I29" s="748">
        <v>0</v>
      </c>
      <c r="J29" s="563">
        <v>85.816000000000003</v>
      </c>
      <c r="K29" s="563">
        <v>20.238</v>
      </c>
      <c r="L29" s="562">
        <f t="shared" si="1"/>
        <v>65.578000000000003</v>
      </c>
    </row>
    <row r="30" spans="1:12" s="405" customFormat="1">
      <c r="A30" s="539">
        <v>19</v>
      </c>
      <c r="B30" s="547" t="s">
        <v>930</v>
      </c>
      <c r="C30" s="562">
        <v>761.44499999999994</v>
      </c>
      <c r="D30" s="562">
        <v>0.37840000000005602</v>
      </c>
      <c r="E30" s="562">
        <v>588.971</v>
      </c>
      <c r="F30" s="562">
        <v>512.85</v>
      </c>
      <c r="G30" s="562">
        <f t="shared" si="0"/>
        <v>76.499400000000037</v>
      </c>
      <c r="H30" s="563">
        <v>95.608000000000004</v>
      </c>
      <c r="I30" s="748">
        <v>0</v>
      </c>
      <c r="J30" s="563">
        <v>0</v>
      </c>
      <c r="K30" s="563">
        <v>0</v>
      </c>
      <c r="L30" s="562">
        <f t="shared" si="1"/>
        <v>0</v>
      </c>
    </row>
    <row r="31" spans="1:12" s="405" customFormat="1">
      <c r="A31" s="539">
        <v>20</v>
      </c>
      <c r="B31" s="547" t="s">
        <v>931</v>
      </c>
      <c r="C31" s="562">
        <v>1700.7389999999998</v>
      </c>
      <c r="D31" s="562">
        <v>9.4920000000001892</v>
      </c>
      <c r="E31" s="562">
        <v>1232.1480000000001</v>
      </c>
      <c r="F31" s="562">
        <v>1008.9179999999999</v>
      </c>
      <c r="G31" s="562">
        <f t="shared" si="0"/>
        <v>232.72200000000043</v>
      </c>
      <c r="H31" s="563">
        <v>396.29628571428572</v>
      </c>
      <c r="I31" s="748">
        <v>3.8400000000000034</v>
      </c>
      <c r="J31" s="563">
        <v>264.95000000000005</v>
      </c>
      <c r="K31" s="563">
        <v>178.05699999999999</v>
      </c>
      <c r="L31" s="562">
        <f t="shared" si="1"/>
        <v>90.733000000000089</v>
      </c>
    </row>
    <row r="32" spans="1:12" s="405" customFormat="1">
      <c r="A32" s="539">
        <v>21</v>
      </c>
      <c r="B32" s="547" t="s">
        <v>932</v>
      </c>
      <c r="C32" s="562">
        <v>610.50099999999986</v>
      </c>
      <c r="D32" s="562">
        <v>9.5611999999999853</v>
      </c>
      <c r="E32" s="562">
        <v>443</v>
      </c>
      <c r="F32" s="562">
        <v>393.15</v>
      </c>
      <c r="G32" s="562">
        <f t="shared" si="0"/>
        <v>59.411200000000008</v>
      </c>
      <c r="H32" s="563">
        <v>79.547200000000004</v>
      </c>
      <c r="I32" s="748">
        <v>1.4911999999999992</v>
      </c>
      <c r="J32" s="563">
        <v>35</v>
      </c>
      <c r="K32" s="563">
        <v>30</v>
      </c>
      <c r="L32" s="562">
        <f t="shared" si="1"/>
        <v>6.4911999999999992</v>
      </c>
    </row>
    <row r="33" spans="1:12" s="405" customFormat="1">
      <c r="A33" s="539">
        <v>22</v>
      </c>
      <c r="B33" s="547" t="s">
        <v>933</v>
      </c>
      <c r="C33" s="562">
        <v>898.75299999999993</v>
      </c>
      <c r="D33" s="562">
        <v>2.1538000000000466</v>
      </c>
      <c r="E33" s="562">
        <v>693.29899999999998</v>
      </c>
      <c r="F33" s="562">
        <v>645.05799999999999</v>
      </c>
      <c r="G33" s="562">
        <f t="shared" si="0"/>
        <v>50.394800000000032</v>
      </c>
      <c r="H33" s="563">
        <v>122.88779999999998</v>
      </c>
      <c r="I33" s="748">
        <v>1.0037999999999982</v>
      </c>
      <c r="J33" s="563">
        <v>64.97</v>
      </c>
      <c r="K33" s="563">
        <v>59</v>
      </c>
      <c r="L33" s="562">
        <f t="shared" si="1"/>
        <v>6.9737999999999971</v>
      </c>
    </row>
    <row r="34" spans="1:12" s="405" customFormat="1">
      <c r="A34" s="539">
        <v>23</v>
      </c>
      <c r="B34" s="547" t="s">
        <v>934</v>
      </c>
      <c r="C34" s="562">
        <v>1917.5349999999999</v>
      </c>
      <c r="D34" s="562">
        <v>12.815000000000282</v>
      </c>
      <c r="E34" s="562">
        <v>1426.1</v>
      </c>
      <c r="F34" s="562">
        <v>1431.53</v>
      </c>
      <c r="G34" s="562">
        <f t="shared" si="0"/>
        <v>7.3850000000002183</v>
      </c>
      <c r="H34" s="563">
        <v>432.88428571428574</v>
      </c>
      <c r="I34" s="748">
        <v>0.24000000000000909</v>
      </c>
      <c r="J34" s="563">
        <v>184.4</v>
      </c>
      <c r="K34" s="563">
        <v>184.64</v>
      </c>
      <c r="L34" s="562">
        <f t="shared" si="1"/>
        <v>0</v>
      </c>
    </row>
    <row r="35" spans="1:12">
      <c r="A35" s="539">
        <v>24</v>
      </c>
      <c r="B35" s="547" t="s">
        <v>935</v>
      </c>
      <c r="C35" s="562">
        <v>1333.0420000000001</v>
      </c>
      <c r="D35" s="562">
        <v>19.382439000000204</v>
      </c>
      <c r="E35" s="562">
        <v>983.48300000000006</v>
      </c>
      <c r="F35" s="562">
        <v>879.40557799999999</v>
      </c>
      <c r="G35" s="562">
        <f t="shared" si="0"/>
        <v>123.45986100000027</v>
      </c>
      <c r="H35" s="563">
        <v>302.03628571428573</v>
      </c>
      <c r="I35" s="748">
        <v>1.3919999999999959</v>
      </c>
      <c r="J35" s="563">
        <v>208.97399999999999</v>
      </c>
      <c r="K35" s="563">
        <v>179.96677450000001</v>
      </c>
      <c r="L35" s="562">
        <f t="shared" si="1"/>
        <v>30.399225499999972</v>
      </c>
    </row>
    <row r="36" spans="1:12">
      <c r="A36" s="539">
        <v>25</v>
      </c>
      <c r="B36" s="547" t="s">
        <v>936</v>
      </c>
      <c r="C36" s="562">
        <v>2448.1850000000004</v>
      </c>
      <c r="D36" s="562">
        <v>5.7105124449444702</v>
      </c>
      <c r="E36" s="562">
        <v>1778</v>
      </c>
      <c r="F36" s="562">
        <v>1623.5046383700001</v>
      </c>
      <c r="G36" s="562">
        <f t="shared" si="0"/>
        <v>160.2058740749444</v>
      </c>
      <c r="H36" s="563">
        <v>557.46832571428581</v>
      </c>
      <c r="I36" s="748">
        <v>1.9300400000000764</v>
      </c>
      <c r="J36" s="563">
        <v>378</v>
      </c>
      <c r="K36" s="563">
        <v>303.41892357</v>
      </c>
      <c r="L36" s="562">
        <f t="shared" si="1"/>
        <v>76.511116430000072</v>
      </c>
    </row>
    <row r="37" spans="1:12">
      <c r="A37" s="539">
        <v>26</v>
      </c>
      <c r="B37" s="547" t="s">
        <v>937</v>
      </c>
      <c r="C37" s="562">
        <v>3310.9160000000006</v>
      </c>
      <c r="D37" s="562">
        <v>3.2669199999995726</v>
      </c>
      <c r="E37" s="562">
        <v>2481.7860000000001</v>
      </c>
      <c r="F37" s="562">
        <v>2203.7148336400001</v>
      </c>
      <c r="G37" s="562">
        <f t="shared" si="0"/>
        <v>281.33808635999958</v>
      </c>
      <c r="H37" s="563">
        <v>757.55824571428582</v>
      </c>
      <c r="I37" s="748">
        <v>4.2419600000000628</v>
      </c>
      <c r="J37" s="563">
        <v>516.89099999999996</v>
      </c>
      <c r="K37" s="563">
        <v>422.93200165999997</v>
      </c>
      <c r="L37" s="562">
        <f t="shared" si="1"/>
        <v>98.200958340000057</v>
      </c>
    </row>
    <row r="38" spans="1:12">
      <c r="A38" s="539">
        <v>27</v>
      </c>
      <c r="B38" s="547" t="s">
        <v>938</v>
      </c>
      <c r="C38" s="562">
        <v>2672.5299999999997</v>
      </c>
      <c r="D38" s="562">
        <v>3.7760000000002947</v>
      </c>
      <c r="E38" s="562">
        <v>1706.6</v>
      </c>
      <c r="F38" s="562">
        <v>1520.47</v>
      </c>
      <c r="G38" s="562">
        <f t="shared" si="0"/>
        <v>189.90600000000018</v>
      </c>
      <c r="H38" s="563">
        <v>609.45468571428569</v>
      </c>
      <c r="I38" s="748">
        <v>4.7584000000000515</v>
      </c>
      <c r="J38" s="563">
        <v>343</v>
      </c>
      <c r="K38" s="563">
        <v>293.24199999999996</v>
      </c>
      <c r="L38" s="562">
        <f t="shared" si="1"/>
        <v>54.51640000000009</v>
      </c>
    </row>
    <row r="39" spans="1:12">
      <c r="A39" s="539">
        <v>28</v>
      </c>
      <c r="B39" s="547" t="s">
        <v>939</v>
      </c>
      <c r="C39" s="562">
        <v>3105.7070000000003</v>
      </c>
      <c r="D39" s="562">
        <v>10.350434685999971</v>
      </c>
      <c r="E39" s="562">
        <v>2299.8829999999998</v>
      </c>
      <c r="F39" s="562">
        <v>2267.9553999999998</v>
      </c>
      <c r="G39" s="562">
        <f t="shared" si="0"/>
        <v>42.278034685999955</v>
      </c>
      <c r="H39" s="563">
        <v>704.23428571428576</v>
      </c>
      <c r="I39" s="748">
        <v>1.7160000000000082</v>
      </c>
      <c r="J39" s="563">
        <v>481.57600000000002</v>
      </c>
      <c r="K39" s="563">
        <v>471.79520000000002</v>
      </c>
      <c r="L39" s="562">
        <f t="shared" si="1"/>
        <v>11.496800000000007</v>
      </c>
    </row>
    <row r="40" spans="1:12">
      <c r="A40" s="539">
        <v>29</v>
      </c>
      <c r="B40" s="547" t="s">
        <v>940</v>
      </c>
      <c r="C40" s="562">
        <v>1842.6049999999998</v>
      </c>
      <c r="D40" s="562">
        <v>10.776999999999816</v>
      </c>
      <c r="E40" s="562">
        <v>1361.0239999999999</v>
      </c>
      <c r="F40" s="562">
        <v>1213.6509999999998</v>
      </c>
      <c r="G40" s="562">
        <f t="shared" si="0"/>
        <v>158.14999999999986</v>
      </c>
      <c r="H40" s="563">
        <v>422.35728571428575</v>
      </c>
      <c r="I40" s="748">
        <v>3.6630000000000109</v>
      </c>
      <c r="J40" s="563">
        <v>287.93899999999996</v>
      </c>
      <c r="K40" s="563">
        <v>251.357</v>
      </c>
      <c r="L40" s="562">
        <f t="shared" si="1"/>
        <v>40.244999999999976</v>
      </c>
    </row>
    <row r="41" spans="1:12">
      <c r="A41" s="539">
        <v>30</v>
      </c>
      <c r="B41" s="547" t="s">
        <v>941</v>
      </c>
      <c r="C41" s="562">
        <v>2856.4790000000003</v>
      </c>
      <c r="D41" s="562">
        <v>3.5709999999996853</v>
      </c>
      <c r="E41" s="562">
        <v>2110.1800000000003</v>
      </c>
      <c r="F41" s="562">
        <v>1919.4396000000002</v>
      </c>
      <c r="G41" s="562">
        <f t="shared" si="0"/>
        <v>194.31140000000005</v>
      </c>
      <c r="H41" s="563">
        <v>662.24428571428564</v>
      </c>
      <c r="I41" s="748">
        <v>0</v>
      </c>
      <c r="J41" s="563">
        <v>378.221</v>
      </c>
      <c r="K41" s="563">
        <v>275.00409999999999</v>
      </c>
      <c r="L41" s="562">
        <f t="shared" si="1"/>
        <v>103.21690000000001</v>
      </c>
    </row>
    <row r="42" spans="1:12">
      <c r="A42" s="539">
        <v>31</v>
      </c>
      <c r="B42" s="547" t="s">
        <v>942</v>
      </c>
      <c r="C42" s="562">
        <v>3190.2480000000005</v>
      </c>
      <c r="D42" s="562">
        <v>2.0703680000005988</v>
      </c>
      <c r="E42" s="562">
        <v>1841.4200000000003</v>
      </c>
      <c r="F42" s="562">
        <v>1830.2289999999998</v>
      </c>
      <c r="G42" s="562">
        <f t="shared" si="0"/>
        <v>13.261368000001085</v>
      </c>
      <c r="H42" s="563">
        <v>721.58928571428567</v>
      </c>
      <c r="I42" s="748">
        <v>1.13900000000001</v>
      </c>
      <c r="J42" s="563">
        <v>349.2</v>
      </c>
      <c r="K42" s="563">
        <v>343.529</v>
      </c>
      <c r="L42" s="562">
        <f t="shared" si="1"/>
        <v>6.8100000000000023</v>
      </c>
    </row>
    <row r="43" spans="1:12">
      <c r="A43" s="539">
        <v>32</v>
      </c>
      <c r="B43" s="547" t="s">
        <v>943</v>
      </c>
      <c r="C43" s="562">
        <v>1797.5780000000002</v>
      </c>
      <c r="D43" s="562">
        <v>3.0750000000000455</v>
      </c>
      <c r="E43" s="562">
        <v>1209.9469999999999</v>
      </c>
      <c r="F43" s="562">
        <v>1198.2829999999999</v>
      </c>
      <c r="G43" s="562">
        <f t="shared" si="0"/>
        <v>14.739000000000033</v>
      </c>
      <c r="H43" s="563">
        <v>415.62028571428573</v>
      </c>
      <c r="I43" s="748">
        <v>3.146000000000015</v>
      </c>
      <c r="J43" s="563">
        <v>249.92200000000003</v>
      </c>
      <c r="K43" s="563">
        <v>210.41</v>
      </c>
      <c r="L43" s="562">
        <f t="shared" si="1"/>
        <v>42.658000000000044</v>
      </c>
    </row>
    <row r="44" spans="1:12">
      <c r="A44" s="539">
        <v>33</v>
      </c>
      <c r="B44" s="547" t="s">
        <v>944</v>
      </c>
      <c r="C44" s="562">
        <v>2835.261</v>
      </c>
      <c r="D44" s="562">
        <v>5.7010000000000218</v>
      </c>
      <c r="E44" s="562">
        <v>2092.1610000000001</v>
      </c>
      <c r="F44" s="562">
        <v>1993.0650719999999</v>
      </c>
      <c r="G44" s="562">
        <f t="shared" si="0"/>
        <v>104.79692800000021</v>
      </c>
      <c r="H44" s="563">
        <v>651.39839999999992</v>
      </c>
      <c r="I44" s="748">
        <v>6.3683999999999514</v>
      </c>
      <c r="J44" s="563">
        <v>440.2</v>
      </c>
      <c r="K44" s="563">
        <v>367.96000000000004</v>
      </c>
      <c r="L44" s="562">
        <f t="shared" si="1"/>
        <v>78.608399999999904</v>
      </c>
    </row>
    <row r="45" spans="1:12">
      <c r="A45" s="539">
        <v>34</v>
      </c>
      <c r="B45" s="547" t="s">
        <v>945</v>
      </c>
      <c r="C45" s="562">
        <v>1890.92</v>
      </c>
      <c r="D45" s="562">
        <v>4.956000000000131</v>
      </c>
      <c r="E45" s="562">
        <v>1030.0999999999999</v>
      </c>
      <c r="F45" s="562">
        <v>1019.457</v>
      </c>
      <c r="G45" s="562">
        <f t="shared" si="0"/>
        <v>15.599000000000046</v>
      </c>
      <c r="H45" s="563">
        <v>433.74228571428569</v>
      </c>
      <c r="I45" s="748">
        <v>0</v>
      </c>
      <c r="J45" s="563">
        <v>179.70000000000002</v>
      </c>
      <c r="K45" s="563">
        <v>177.309</v>
      </c>
      <c r="L45" s="562">
        <f t="shared" si="1"/>
        <v>2.3910000000000196</v>
      </c>
    </row>
    <row r="46" spans="1:12">
      <c r="A46" s="559" t="s">
        <v>17</v>
      </c>
      <c r="B46" s="538"/>
      <c r="C46" s="564">
        <f>SUM(C12:C45)</f>
        <v>52868.05000000001</v>
      </c>
      <c r="D46" s="564">
        <f t="shared" ref="D46:L46" si="2">SUM(D12:D45)</f>
        <v>228.55771891094523</v>
      </c>
      <c r="E46" s="564">
        <f t="shared" si="2"/>
        <v>36865.356</v>
      </c>
      <c r="F46" s="564">
        <f t="shared" si="2"/>
        <v>34338.7938348057</v>
      </c>
      <c r="G46" s="564">
        <f t="shared" si="2"/>
        <v>2755.1198841052465</v>
      </c>
      <c r="H46" s="564">
        <f t="shared" si="2"/>
        <v>11723.335200000001</v>
      </c>
      <c r="I46" s="570">
        <f t="shared" si="2"/>
        <v>74.995200000000182</v>
      </c>
      <c r="J46" s="564">
        <f t="shared" si="2"/>
        <v>6466.5939999999991</v>
      </c>
      <c r="K46" s="564">
        <f t="shared" si="2"/>
        <v>5524.3672869343009</v>
      </c>
      <c r="L46" s="564">
        <f t="shared" si="2"/>
        <v>1017.2219130656995</v>
      </c>
    </row>
    <row r="47" spans="1:12">
      <c r="A47" s="19" t="s">
        <v>662</v>
      </c>
      <c r="B47" s="20"/>
      <c r="C47" s="408"/>
      <c r="D47" s="20"/>
      <c r="E47" s="20"/>
      <c r="F47" s="20"/>
      <c r="G47" s="20"/>
      <c r="H47" s="20"/>
      <c r="I47" s="20"/>
      <c r="J47" s="20"/>
      <c r="K47" s="20"/>
      <c r="L47" s="20"/>
    </row>
    <row r="48" spans="1:12" ht="15.75" customHeight="1">
      <c r="A48" s="14"/>
      <c r="B48" s="14"/>
      <c r="C48" s="730"/>
      <c r="D48" s="14"/>
      <c r="E48" s="14"/>
      <c r="F48" s="14"/>
      <c r="G48" s="14"/>
      <c r="H48" s="14"/>
      <c r="I48" s="14"/>
      <c r="J48" s="14"/>
      <c r="K48" s="14"/>
      <c r="L48" s="14"/>
    </row>
    <row r="49" spans="1:12">
      <c r="A49" s="405"/>
      <c r="B49" s="405"/>
      <c r="C49" s="581"/>
      <c r="D49" s="405"/>
      <c r="E49" s="405"/>
      <c r="F49" s="405"/>
      <c r="G49" s="405"/>
      <c r="H49" s="405"/>
      <c r="I49" s="405"/>
      <c r="J49" s="405"/>
    </row>
    <row r="50" spans="1:12">
      <c r="A50" s="405"/>
      <c r="B50" s="405"/>
      <c r="C50" s="581"/>
      <c r="D50" s="581"/>
      <c r="E50" s="405"/>
      <c r="F50" s="581"/>
      <c r="G50" s="405"/>
      <c r="H50" s="405"/>
      <c r="I50" s="405"/>
      <c r="J50" s="405"/>
    </row>
    <row r="51" spans="1:12" ht="15.75">
      <c r="A51" s="405"/>
      <c r="B51" s="13"/>
      <c r="C51" s="13"/>
      <c r="D51" s="13"/>
      <c r="E51" s="13"/>
      <c r="F51" s="13"/>
      <c r="I51" s="804" t="s">
        <v>12</v>
      </c>
      <c r="J51" s="804"/>
      <c r="K51" s="804"/>
      <c r="L51" s="804"/>
    </row>
    <row r="52" spans="1:12" ht="15.75" customHeight="1">
      <c r="A52" s="803" t="s">
        <v>906</v>
      </c>
      <c r="B52" s="803"/>
      <c r="C52" s="803"/>
      <c r="D52" s="803"/>
      <c r="E52" s="375"/>
      <c r="F52" s="375"/>
      <c r="I52" s="804" t="s">
        <v>13</v>
      </c>
      <c r="J52" s="804"/>
      <c r="K52" s="804"/>
      <c r="L52" s="804"/>
    </row>
    <row r="53" spans="1:12" ht="15.75" customHeight="1">
      <c r="A53" s="804" t="s">
        <v>907</v>
      </c>
      <c r="B53" s="804"/>
      <c r="C53" s="804"/>
      <c r="D53" s="804"/>
      <c r="E53" s="375"/>
      <c r="F53" s="375"/>
      <c r="I53" s="804" t="s">
        <v>18</v>
      </c>
      <c r="J53" s="804"/>
      <c r="K53" s="804"/>
      <c r="L53" s="804"/>
    </row>
    <row r="54" spans="1:12">
      <c r="A54" s="804" t="s">
        <v>908</v>
      </c>
      <c r="B54" s="804"/>
      <c r="C54" s="804"/>
      <c r="D54" s="804"/>
      <c r="E54"/>
      <c r="F54"/>
      <c r="I54" s="803" t="s">
        <v>84</v>
      </c>
      <c r="J54" s="803"/>
      <c r="K54" s="803"/>
      <c r="L54" s="803"/>
    </row>
    <row r="55" spans="1:12">
      <c r="A55" s="404"/>
      <c r="B55" s="404"/>
      <c r="C55" s="404"/>
      <c r="D55" s="404"/>
      <c r="E55" s="404"/>
      <c r="F55" s="404"/>
      <c r="G55" s="405"/>
      <c r="H55" s="405"/>
      <c r="I55" s="405"/>
      <c r="J55" s="405"/>
    </row>
    <row r="56" spans="1:12" ht="15.75">
      <c r="A56" s="13" t="s">
        <v>11</v>
      </c>
      <c r="B56" s="405"/>
      <c r="C56" s="405"/>
      <c r="D56" s="405"/>
      <c r="E56" s="405"/>
      <c r="F56" s="405"/>
      <c r="G56" s="405"/>
      <c r="H56" s="405"/>
      <c r="I56" s="405"/>
      <c r="J56" s="405"/>
    </row>
  </sheetData>
  <mergeCells count="17">
    <mergeCell ref="I54:L54"/>
    <mergeCell ref="A3:L3"/>
    <mergeCell ref="A2:L2"/>
    <mergeCell ref="A5:L5"/>
    <mergeCell ref="A7:B7"/>
    <mergeCell ref="A54:D54"/>
    <mergeCell ref="I52:L52"/>
    <mergeCell ref="I51:L51"/>
    <mergeCell ref="I53:L53"/>
    <mergeCell ref="F7:L7"/>
    <mergeCell ref="A9:A10"/>
    <mergeCell ref="B9:B10"/>
    <mergeCell ref="C9:G9"/>
    <mergeCell ref="H9:L9"/>
    <mergeCell ref="I8:L8"/>
    <mergeCell ref="A52:D52"/>
    <mergeCell ref="A53:D53"/>
  </mergeCells>
  <phoneticPr fontId="0" type="noConversion"/>
  <printOptions horizontalCentered="1"/>
  <pageMargins left="0.70866141732283472" right="0.70866141732283472" top="0.23622047244094491" bottom="0" header="0.31496062992125984" footer="0.31496062992125984"/>
  <pageSetup paperSize="9" scale="73" orientation="landscape" r:id="rId1"/>
</worksheet>
</file>

<file path=xl/worksheets/sheet21.xml><?xml version="1.0" encoding="utf-8"?>
<worksheet xmlns="http://schemas.openxmlformats.org/spreadsheetml/2006/main" xmlns:r="http://schemas.openxmlformats.org/officeDocument/2006/relationships">
  <sheetPr codeName="Sheet21">
    <pageSetUpPr fitToPage="1"/>
  </sheetPr>
  <dimension ref="A1:O57"/>
  <sheetViews>
    <sheetView view="pageBreakPreview" topLeftCell="A16" zoomScale="90" zoomScaleSheetLayoutView="90" workbookViewId="0">
      <selection activeCell="C33" sqref="C33:L33"/>
    </sheetView>
  </sheetViews>
  <sheetFormatPr defaultRowHeight="12.75"/>
  <cols>
    <col min="1" max="1" width="6" style="15" customWidth="1"/>
    <col min="2" max="2" width="18.28515625" style="15" customWidth="1"/>
    <col min="3" max="3" width="10.5703125" style="15" customWidth="1"/>
    <col min="4" max="4" width="10.7109375" style="15" customWidth="1"/>
    <col min="5" max="5" width="10.5703125" style="15" customWidth="1"/>
    <col min="6" max="6" width="10.85546875" style="15" customWidth="1"/>
    <col min="7" max="7" width="11.85546875" style="15" customWidth="1"/>
    <col min="8" max="9" width="11.42578125" style="15" customWidth="1"/>
    <col min="10" max="10" width="9.42578125" style="15" bestFit="1" customWidth="1"/>
    <col min="11" max="11" width="12" style="15" customWidth="1"/>
    <col min="12" max="12" width="13.28515625" style="15" customWidth="1"/>
    <col min="13" max="13" width="0.7109375" style="15" customWidth="1"/>
    <col min="14" max="16384" width="9.140625" style="15"/>
  </cols>
  <sheetData>
    <row r="1" spans="1:15" customFormat="1">
      <c r="D1" s="33"/>
      <c r="E1" s="33"/>
      <c r="F1" s="33"/>
      <c r="G1" s="33"/>
      <c r="H1" s="33"/>
      <c r="I1" s="33"/>
      <c r="J1" s="33"/>
      <c r="K1" s="33"/>
      <c r="L1" s="930" t="s">
        <v>72</v>
      </c>
      <c r="M1" s="930"/>
    </row>
    <row r="2" spans="1:15" customFormat="1" ht="15">
      <c r="A2" s="920" t="s">
        <v>0</v>
      </c>
      <c r="B2" s="920"/>
      <c r="C2" s="920"/>
      <c r="D2" s="920"/>
      <c r="E2" s="920"/>
      <c r="F2" s="920"/>
      <c r="G2" s="920"/>
      <c r="H2" s="920"/>
      <c r="I2" s="920"/>
      <c r="J2" s="920"/>
      <c r="K2" s="920"/>
      <c r="L2" s="920"/>
      <c r="M2" s="42"/>
    </row>
    <row r="3" spans="1:15" customFormat="1" ht="20.25">
      <c r="A3" s="931" t="s">
        <v>745</v>
      </c>
      <c r="B3" s="931"/>
      <c r="C3" s="931"/>
      <c r="D3" s="931"/>
      <c r="E3" s="931"/>
      <c r="F3" s="931"/>
      <c r="G3" s="931"/>
      <c r="H3" s="931"/>
      <c r="I3" s="931"/>
      <c r="J3" s="931"/>
      <c r="K3" s="931"/>
      <c r="L3" s="931"/>
      <c r="M3" s="41"/>
    </row>
    <row r="4" spans="1:15" customFormat="1" ht="10.5" customHeight="1"/>
    <row r="5" spans="1:15" ht="19.5" customHeight="1">
      <c r="A5" s="925" t="s">
        <v>811</v>
      </c>
      <c r="B5" s="925"/>
      <c r="C5" s="925"/>
      <c r="D5" s="925"/>
      <c r="E5" s="925"/>
      <c r="F5" s="925"/>
      <c r="G5" s="925"/>
      <c r="H5" s="925"/>
      <c r="I5" s="925"/>
      <c r="J5" s="925"/>
      <c r="K5" s="925"/>
      <c r="L5" s="925"/>
    </row>
    <row r="6" spans="1:15">
      <c r="A6" s="21"/>
      <c r="B6" s="21"/>
      <c r="C6" s="21"/>
      <c r="D6" s="21"/>
      <c r="E6" s="21"/>
      <c r="F6" s="21"/>
      <c r="G6" s="21"/>
      <c r="H6" s="21"/>
      <c r="I6" s="21"/>
      <c r="J6" s="21"/>
      <c r="K6" s="21"/>
      <c r="L6" s="21"/>
    </row>
    <row r="7" spans="1:15">
      <c r="A7" s="850" t="s">
        <v>948</v>
      </c>
      <c r="B7" s="850"/>
      <c r="F7" s="929" t="s">
        <v>19</v>
      </c>
      <c r="G7" s="929"/>
      <c r="H7" s="929"/>
      <c r="I7" s="929"/>
      <c r="J7" s="929"/>
      <c r="K7" s="929"/>
      <c r="L7" s="929"/>
    </row>
    <row r="8" spans="1:15">
      <c r="A8" s="14"/>
      <c r="F8" s="16"/>
      <c r="G8" s="101"/>
      <c r="H8" s="101"/>
      <c r="I8" s="914" t="s">
        <v>831</v>
      </c>
      <c r="J8" s="914"/>
      <c r="K8" s="914"/>
      <c r="L8" s="914"/>
    </row>
    <row r="9" spans="1:15" s="14" customFormat="1">
      <c r="A9" s="834" t="s">
        <v>2</v>
      </c>
      <c r="B9" s="834" t="s">
        <v>3</v>
      </c>
      <c r="C9" s="821" t="s">
        <v>20</v>
      </c>
      <c r="D9" s="822"/>
      <c r="E9" s="822"/>
      <c r="F9" s="822"/>
      <c r="G9" s="822"/>
      <c r="H9" s="821" t="s">
        <v>42</v>
      </c>
      <c r="I9" s="822"/>
      <c r="J9" s="822"/>
      <c r="K9" s="822"/>
      <c r="L9" s="822"/>
      <c r="N9" s="27"/>
      <c r="O9" s="28"/>
    </row>
    <row r="10" spans="1:15" s="14" customFormat="1" ht="77.45" customHeight="1">
      <c r="A10" s="834"/>
      <c r="B10" s="834"/>
      <c r="C10" s="340" t="s">
        <v>850</v>
      </c>
      <c r="D10" s="340" t="s">
        <v>826</v>
      </c>
      <c r="E10" s="5" t="s">
        <v>70</v>
      </c>
      <c r="F10" s="5" t="s">
        <v>71</v>
      </c>
      <c r="G10" s="5" t="s">
        <v>663</v>
      </c>
      <c r="H10" s="340" t="s">
        <v>850</v>
      </c>
      <c r="I10" s="340" t="s">
        <v>826</v>
      </c>
      <c r="J10" s="5" t="s">
        <v>70</v>
      </c>
      <c r="K10" s="5" t="s">
        <v>71</v>
      </c>
      <c r="L10" s="5" t="s">
        <v>664</v>
      </c>
    </row>
    <row r="11" spans="1:15" s="14" customFormat="1">
      <c r="A11" s="5">
        <v>1</v>
      </c>
      <c r="B11" s="5">
        <v>2</v>
      </c>
      <c r="C11" s="5">
        <v>3</v>
      </c>
      <c r="D11" s="5">
        <v>4</v>
      </c>
      <c r="E11" s="5">
        <v>5</v>
      </c>
      <c r="F11" s="5">
        <v>6</v>
      </c>
      <c r="G11" s="5">
        <v>7</v>
      </c>
      <c r="H11" s="5">
        <v>8</v>
      </c>
      <c r="I11" s="5">
        <v>9</v>
      </c>
      <c r="J11" s="5">
        <v>10</v>
      </c>
      <c r="K11" s="5">
        <v>11</v>
      </c>
      <c r="L11" s="5">
        <v>12</v>
      </c>
    </row>
    <row r="12" spans="1:15">
      <c r="A12" s="539">
        <v>1</v>
      </c>
      <c r="B12" s="537" t="s">
        <v>912</v>
      </c>
      <c r="C12" s="562">
        <v>1027.2326598026666</v>
      </c>
      <c r="D12" s="562">
        <v>4.8356598026666688</v>
      </c>
      <c r="E12" s="562">
        <v>782</v>
      </c>
      <c r="F12" s="562">
        <v>781.72201599999994</v>
      </c>
      <c r="G12" s="562">
        <f>D12+E12-F12</f>
        <v>5.1136438026667292</v>
      </c>
      <c r="H12" s="563">
        <v>234.90828000000005</v>
      </c>
      <c r="I12" s="563">
        <v>0.11328000000000316</v>
      </c>
      <c r="J12" s="563">
        <v>140.5</v>
      </c>
      <c r="K12" s="563">
        <v>130.016775</v>
      </c>
      <c r="L12" s="562">
        <f>I12+J12-K12</f>
        <v>10.596505000000008</v>
      </c>
    </row>
    <row r="13" spans="1:15">
      <c r="A13" s="539">
        <v>2</v>
      </c>
      <c r="B13" s="537" t="s">
        <v>913</v>
      </c>
      <c r="C13" s="562">
        <v>1483.1562495946671</v>
      </c>
      <c r="D13" s="562">
        <v>19.029249594666908</v>
      </c>
      <c r="E13" s="562">
        <v>910.7</v>
      </c>
      <c r="F13" s="562">
        <v>929.21364999999992</v>
      </c>
      <c r="G13" s="562">
        <f t="shared" ref="G13:G45" si="0">D13+E13-F13</f>
        <v>0.51559959466703731</v>
      </c>
      <c r="H13" s="563">
        <v>336.56930161764711</v>
      </c>
      <c r="I13" s="563">
        <v>1.6693016176470792</v>
      </c>
      <c r="J13" s="563">
        <v>177.2</v>
      </c>
      <c r="K13" s="563">
        <v>170.82804999999999</v>
      </c>
      <c r="L13" s="562">
        <f t="shared" ref="L13:L45" si="1">I13+J13-K13</f>
        <v>8.0412516176470774</v>
      </c>
    </row>
    <row r="14" spans="1:15">
      <c r="A14" s="539">
        <v>3</v>
      </c>
      <c r="B14" s="537" t="s">
        <v>914</v>
      </c>
      <c r="C14" s="562">
        <v>1663.9831177546664</v>
      </c>
      <c r="D14" s="562">
        <v>0.89911775466657673</v>
      </c>
      <c r="E14" s="562">
        <v>1189.106</v>
      </c>
      <c r="F14" s="562">
        <v>1159.8271999999999</v>
      </c>
      <c r="G14" s="562">
        <f t="shared" si="0"/>
        <v>30.177917754666623</v>
      </c>
      <c r="H14" s="563">
        <v>385.32900000000001</v>
      </c>
      <c r="I14" s="563">
        <v>2.0000000000095497E-3</v>
      </c>
      <c r="J14" s="563">
        <v>210.529</v>
      </c>
      <c r="K14" s="563">
        <v>208.09254999999999</v>
      </c>
      <c r="L14" s="562">
        <f t="shared" si="1"/>
        <v>2.4384500000000173</v>
      </c>
    </row>
    <row r="15" spans="1:15" s="407" customFormat="1">
      <c r="A15" s="539">
        <v>4</v>
      </c>
      <c r="B15" s="537" t="s">
        <v>915</v>
      </c>
      <c r="C15" s="562">
        <v>1466.5401177546667</v>
      </c>
      <c r="D15" s="562">
        <v>2.5431177546668096</v>
      </c>
      <c r="E15" s="562">
        <v>948.49699999999996</v>
      </c>
      <c r="F15" s="562">
        <v>909.69285645161278</v>
      </c>
      <c r="G15" s="562">
        <f t="shared" si="0"/>
        <v>41.347261303053983</v>
      </c>
      <c r="H15" s="563">
        <v>329.26499999999999</v>
      </c>
      <c r="I15" s="563">
        <v>1.3700000000000045</v>
      </c>
      <c r="J15" s="563">
        <v>204.13900000000001</v>
      </c>
      <c r="K15" s="563">
        <v>179.11804354838711</v>
      </c>
      <c r="L15" s="562">
        <f t="shared" si="1"/>
        <v>26.390956451612908</v>
      </c>
    </row>
    <row r="16" spans="1:15" s="407" customFormat="1">
      <c r="A16" s="539">
        <v>5</v>
      </c>
      <c r="B16" s="537" t="s">
        <v>916</v>
      </c>
      <c r="C16" s="562">
        <v>1350.8481177546669</v>
      </c>
      <c r="D16" s="562">
        <v>1.3511177546668023</v>
      </c>
      <c r="E16" s="562">
        <v>926</v>
      </c>
      <c r="F16" s="562">
        <v>925.26400000000001</v>
      </c>
      <c r="G16" s="562">
        <f t="shared" si="0"/>
        <v>2.0871177546667923</v>
      </c>
      <c r="H16" s="563">
        <v>310.43399999999997</v>
      </c>
      <c r="I16" s="563">
        <v>0.54999999999998295</v>
      </c>
      <c r="J16" s="563">
        <v>59.9</v>
      </c>
      <c r="K16" s="563">
        <v>30.882999999999999</v>
      </c>
      <c r="L16" s="562">
        <f t="shared" si="1"/>
        <v>29.566999999999982</v>
      </c>
    </row>
    <row r="17" spans="1:12" s="407" customFormat="1">
      <c r="A17" s="539">
        <v>6</v>
      </c>
      <c r="B17" s="537" t="s">
        <v>917</v>
      </c>
      <c r="C17" s="562">
        <v>652.60811775466664</v>
      </c>
      <c r="D17" s="562">
        <v>2.4991177546665995</v>
      </c>
      <c r="E17" s="562">
        <v>477.70299999999997</v>
      </c>
      <c r="F17" s="562">
        <v>476.49299999999999</v>
      </c>
      <c r="G17" s="562">
        <f t="shared" si="0"/>
        <v>3.709117754666579</v>
      </c>
      <c r="H17" s="563">
        <v>152.637</v>
      </c>
      <c r="I17" s="563">
        <v>0</v>
      </c>
      <c r="J17" s="563">
        <v>73.965000000000003</v>
      </c>
      <c r="K17" s="563">
        <v>47.180999999999997</v>
      </c>
      <c r="L17" s="562">
        <f t="shared" si="1"/>
        <v>26.784000000000006</v>
      </c>
    </row>
    <row r="18" spans="1:12" s="407" customFormat="1">
      <c r="A18" s="539">
        <v>7</v>
      </c>
      <c r="B18" s="537" t="s">
        <v>918</v>
      </c>
      <c r="C18" s="562">
        <v>689.88511775466668</v>
      </c>
      <c r="D18" s="562">
        <v>2.4741177546667359</v>
      </c>
      <c r="E18" s="562">
        <v>503.12</v>
      </c>
      <c r="F18" s="562">
        <v>505.30599999999998</v>
      </c>
      <c r="G18" s="562">
        <f t="shared" si="0"/>
        <v>0.28811775466675726</v>
      </c>
      <c r="H18" s="563">
        <v>162.44200000000001</v>
      </c>
      <c r="I18" s="563">
        <v>3.0000000000143245E-3</v>
      </c>
      <c r="J18" s="563">
        <v>91.686999999999998</v>
      </c>
      <c r="K18" s="563">
        <v>86.977000000000004</v>
      </c>
      <c r="L18" s="562">
        <f t="shared" si="1"/>
        <v>4.7130000000000081</v>
      </c>
    </row>
    <row r="19" spans="1:12" s="407" customFormat="1">
      <c r="A19" s="539">
        <v>8</v>
      </c>
      <c r="B19" s="537" t="s">
        <v>919</v>
      </c>
      <c r="C19" s="562">
        <v>1041.3231177546668</v>
      </c>
      <c r="D19" s="562">
        <v>0.96911775466674044</v>
      </c>
      <c r="E19" s="562">
        <v>768.09</v>
      </c>
      <c r="F19" s="562">
        <v>714.14</v>
      </c>
      <c r="G19" s="562">
        <f t="shared" si="0"/>
        <v>54.919117754666786</v>
      </c>
      <c r="H19" s="563">
        <v>241.55600000000004</v>
      </c>
      <c r="I19" s="563">
        <v>0.94899999999998386</v>
      </c>
      <c r="J19" s="563">
        <v>165.78700000000001</v>
      </c>
      <c r="K19" s="563">
        <v>137.43</v>
      </c>
      <c r="L19" s="562">
        <f t="shared" si="1"/>
        <v>29.305999999999983</v>
      </c>
    </row>
    <row r="20" spans="1:12" s="407" customFormat="1">
      <c r="A20" s="539">
        <v>9</v>
      </c>
      <c r="B20" s="537" t="s">
        <v>920</v>
      </c>
      <c r="C20" s="562">
        <v>905.05600000000004</v>
      </c>
      <c r="D20" s="562">
        <v>0.71299999999996544</v>
      </c>
      <c r="E20" s="562">
        <v>670.87900000000002</v>
      </c>
      <c r="F20" s="562">
        <v>579.197</v>
      </c>
      <c r="G20" s="562">
        <f t="shared" si="0"/>
        <v>92.394999999999982</v>
      </c>
      <c r="H20" s="563">
        <v>210.42700000000002</v>
      </c>
      <c r="I20" s="563">
        <v>0.97800000000000864</v>
      </c>
      <c r="J20" s="563">
        <v>145.291</v>
      </c>
      <c r="K20" s="563">
        <v>133.38499999999999</v>
      </c>
      <c r="L20" s="562">
        <f t="shared" si="1"/>
        <v>12.884000000000015</v>
      </c>
    </row>
    <row r="21" spans="1:12" s="407" customFormat="1">
      <c r="A21" s="539">
        <v>10</v>
      </c>
      <c r="B21" s="537" t="s">
        <v>921</v>
      </c>
      <c r="C21" s="562">
        <v>1325.6364000000001</v>
      </c>
      <c r="D21" s="562">
        <v>0.47840000000007876</v>
      </c>
      <c r="E21" s="562">
        <v>887</v>
      </c>
      <c r="F21" s="562">
        <v>839.28099999999995</v>
      </c>
      <c r="G21" s="562">
        <f t="shared" si="0"/>
        <v>48.19740000000013</v>
      </c>
      <c r="H21" s="563">
        <v>307.60948000000002</v>
      </c>
      <c r="I21" s="563">
        <v>0.47847999999996205</v>
      </c>
      <c r="J21" s="563">
        <v>122</v>
      </c>
      <c r="K21" s="563">
        <v>80.27</v>
      </c>
      <c r="L21" s="562">
        <f t="shared" si="1"/>
        <v>42.208479999999966</v>
      </c>
    </row>
    <row r="22" spans="1:12" s="407" customFormat="1">
      <c r="A22" s="539">
        <v>11</v>
      </c>
      <c r="B22" s="537" t="s">
        <v>922</v>
      </c>
      <c r="C22" s="562">
        <v>776.83271775466665</v>
      </c>
      <c r="D22" s="562">
        <v>2.796717754666588</v>
      </c>
      <c r="E22" s="562">
        <v>648.59299999999996</v>
      </c>
      <c r="F22" s="562">
        <v>516.48</v>
      </c>
      <c r="G22" s="562">
        <f t="shared" si="0"/>
        <v>134.90971775466653</v>
      </c>
      <c r="H22" s="563">
        <v>182.27766700000004</v>
      </c>
      <c r="I22" s="563">
        <v>1.0206670000000315</v>
      </c>
      <c r="J22" s="563">
        <v>109.185</v>
      </c>
      <c r="K22" s="563">
        <v>87.740000000000009</v>
      </c>
      <c r="L22" s="562">
        <f t="shared" si="1"/>
        <v>22.465667000000025</v>
      </c>
    </row>
    <row r="23" spans="1:12" s="407" customFormat="1">
      <c r="A23" s="539">
        <v>12</v>
      </c>
      <c r="B23" s="537" t="s">
        <v>923</v>
      </c>
      <c r="C23" s="562">
        <v>2164.8871177546666</v>
      </c>
      <c r="D23" s="562">
        <v>1.5431177546665822</v>
      </c>
      <c r="E23" s="562">
        <v>1316.06</v>
      </c>
      <c r="F23" s="562">
        <v>1307.616</v>
      </c>
      <c r="G23" s="562">
        <f t="shared" si="0"/>
        <v>9.9871177546665422</v>
      </c>
      <c r="H23" s="563">
        <v>492.62099999999998</v>
      </c>
      <c r="I23" s="563">
        <v>1.169000000000004</v>
      </c>
      <c r="J23" s="563">
        <v>152.80099999999999</v>
      </c>
      <c r="K23" s="563">
        <v>152.80200000000002</v>
      </c>
      <c r="L23" s="562">
        <f t="shared" si="1"/>
        <v>1.1679999999999779</v>
      </c>
    </row>
    <row r="24" spans="1:12" s="407" customFormat="1">
      <c r="A24" s="539">
        <v>13</v>
      </c>
      <c r="B24" s="537" t="s">
        <v>924</v>
      </c>
      <c r="C24" s="562">
        <v>1083.4946177546667</v>
      </c>
      <c r="D24" s="562">
        <v>1.543617754666684</v>
      </c>
      <c r="E24" s="562">
        <v>633.74099999999999</v>
      </c>
      <c r="F24" s="562">
        <v>560.55900000000008</v>
      </c>
      <c r="G24" s="562">
        <f t="shared" si="0"/>
        <v>74.725617754666587</v>
      </c>
      <c r="H24" s="563">
        <v>249.08100000000002</v>
      </c>
      <c r="I24" s="563">
        <v>0.35299999999998022</v>
      </c>
      <c r="J24" s="563">
        <v>140.85899999999998</v>
      </c>
      <c r="K24" s="563">
        <v>103.54599999999999</v>
      </c>
      <c r="L24" s="562">
        <f t="shared" si="1"/>
        <v>37.665999999999968</v>
      </c>
    </row>
    <row r="25" spans="1:12" s="407" customFormat="1">
      <c r="A25" s="539">
        <v>14</v>
      </c>
      <c r="B25" s="537" t="s">
        <v>925</v>
      </c>
      <c r="C25" s="562">
        <v>753.94420000000002</v>
      </c>
      <c r="D25" s="562">
        <v>1.453200000000038</v>
      </c>
      <c r="E25" s="562">
        <v>552.79999999999995</v>
      </c>
      <c r="F25" s="562">
        <v>543.74</v>
      </c>
      <c r="G25" s="562">
        <f t="shared" si="0"/>
        <v>10.513199999999983</v>
      </c>
      <c r="H25" s="563">
        <v>176.52600000000001</v>
      </c>
      <c r="I25" s="563">
        <v>0</v>
      </c>
      <c r="J25" s="563">
        <v>69.5</v>
      </c>
      <c r="K25" s="563">
        <v>67.47</v>
      </c>
      <c r="L25" s="562">
        <f t="shared" si="1"/>
        <v>2.0300000000000011</v>
      </c>
    </row>
    <row r="26" spans="1:12" s="407" customFormat="1">
      <c r="A26" s="539">
        <v>15</v>
      </c>
      <c r="B26" s="537" t="s">
        <v>926</v>
      </c>
      <c r="C26" s="562">
        <v>356.49611775466661</v>
      </c>
      <c r="D26" s="562">
        <v>2.0921177546666172</v>
      </c>
      <c r="E26" s="562">
        <v>169.26599999999999</v>
      </c>
      <c r="F26" s="562">
        <v>171.358</v>
      </c>
      <c r="G26" s="562">
        <f t="shared" si="0"/>
        <v>1.1775466660424172E-4</v>
      </c>
      <c r="H26" s="563">
        <v>43.823</v>
      </c>
      <c r="I26" s="563">
        <v>0</v>
      </c>
      <c r="J26" s="563">
        <v>0</v>
      </c>
      <c r="K26" s="563">
        <v>0</v>
      </c>
      <c r="L26" s="562">
        <f t="shared" si="1"/>
        <v>0</v>
      </c>
    </row>
    <row r="27" spans="1:12" s="407" customFormat="1">
      <c r="A27" s="539">
        <v>16</v>
      </c>
      <c r="B27" s="537" t="s">
        <v>927</v>
      </c>
      <c r="C27" s="562">
        <v>1136.6486177546665</v>
      </c>
      <c r="D27" s="562">
        <v>1.0496177546665422</v>
      </c>
      <c r="E27" s="562">
        <v>835.029</v>
      </c>
      <c r="F27" s="562">
        <v>809.00600000000009</v>
      </c>
      <c r="G27" s="562">
        <f t="shared" si="0"/>
        <v>27.072617754666453</v>
      </c>
      <c r="H27" s="563">
        <v>262.66600000000005</v>
      </c>
      <c r="I27" s="563">
        <v>0</v>
      </c>
      <c r="J27" s="563">
        <v>107.1</v>
      </c>
      <c r="K27" s="563">
        <v>101.554</v>
      </c>
      <c r="L27" s="562">
        <f t="shared" si="1"/>
        <v>5.5459999999999923</v>
      </c>
    </row>
    <row r="28" spans="1:12" s="407" customFormat="1">
      <c r="A28" s="539">
        <v>17</v>
      </c>
      <c r="B28" s="537" t="s">
        <v>928</v>
      </c>
      <c r="C28" s="562">
        <v>723.92411775466655</v>
      </c>
      <c r="D28" s="562">
        <v>3.4711177546665795</v>
      </c>
      <c r="E28" s="562">
        <v>527.48</v>
      </c>
      <c r="F28" s="562">
        <v>516.78</v>
      </c>
      <c r="G28" s="562">
        <f t="shared" si="0"/>
        <v>14.171117754666625</v>
      </c>
      <c r="H28" s="563">
        <v>170.98</v>
      </c>
      <c r="I28" s="563">
        <v>1.1399999999999864</v>
      </c>
      <c r="J28" s="563">
        <v>47</v>
      </c>
      <c r="K28" s="563">
        <v>25.4</v>
      </c>
      <c r="L28" s="562">
        <f t="shared" si="1"/>
        <v>22.739999999999988</v>
      </c>
    </row>
    <row r="29" spans="1:12" s="407" customFormat="1">
      <c r="A29" s="539">
        <v>18</v>
      </c>
      <c r="B29" s="537" t="s">
        <v>929</v>
      </c>
      <c r="C29" s="562">
        <v>1487.9651177546668</v>
      </c>
      <c r="D29" s="562">
        <v>3.175117754666644</v>
      </c>
      <c r="E29" s="562">
        <v>921.452</v>
      </c>
      <c r="F29" s="562">
        <v>874.5</v>
      </c>
      <c r="G29" s="562">
        <f t="shared" si="0"/>
        <v>50.127117754666642</v>
      </c>
      <c r="H29" s="563">
        <v>193.24</v>
      </c>
      <c r="I29" s="563">
        <v>0</v>
      </c>
      <c r="J29" s="563">
        <v>96.62</v>
      </c>
      <c r="K29" s="563">
        <v>22.116</v>
      </c>
      <c r="L29" s="562">
        <f t="shared" si="1"/>
        <v>74.504000000000005</v>
      </c>
    </row>
    <row r="30" spans="1:12" s="407" customFormat="1">
      <c r="A30" s="539">
        <v>19</v>
      </c>
      <c r="B30" s="537" t="s">
        <v>930</v>
      </c>
      <c r="C30" s="562">
        <v>805.97311775466665</v>
      </c>
      <c r="D30" s="562">
        <v>2.5651177546667441</v>
      </c>
      <c r="E30" s="562">
        <v>609.82299999999998</v>
      </c>
      <c r="F30" s="562">
        <v>479.04999999999995</v>
      </c>
      <c r="G30" s="562">
        <f t="shared" si="0"/>
        <v>133.33811775466677</v>
      </c>
      <c r="H30" s="563">
        <v>106.398</v>
      </c>
      <c r="I30" s="563">
        <v>0</v>
      </c>
      <c r="J30" s="563">
        <v>0</v>
      </c>
      <c r="K30" s="563">
        <v>0</v>
      </c>
      <c r="L30" s="562">
        <f t="shared" si="1"/>
        <v>0</v>
      </c>
    </row>
    <row r="31" spans="1:12" s="407" customFormat="1">
      <c r="A31" s="539">
        <v>20</v>
      </c>
      <c r="B31" s="537" t="s">
        <v>931</v>
      </c>
      <c r="C31" s="562">
        <v>1618.7901177546667</v>
      </c>
      <c r="D31" s="562">
        <v>2.397117754666624</v>
      </c>
      <c r="E31" s="562">
        <v>1179.992</v>
      </c>
      <c r="F31" s="562">
        <v>982.66699999999992</v>
      </c>
      <c r="G31" s="562">
        <f t="shared" si="0"/>
        <v>199.72211775466667</v>
      </c>
      <c r="H31" s="563">
        <v>373.22699999999998</v>
      </c>
      <c r="I31" s="563">
        <v>0.68000000000000682</v>
      </c>
      <c r="J31" s="563">
        <v>252.62099999999998</v>
      </c>
      <c r="K31" s="563">
        <v>182.321</v>
      </c>
      <c r="L31" s="562">
        <f t="shared" si="1"/>
        <v>70.97999999999999</v>
      </c>
    </row>
    <row r="32" spans="1:12" s="407" customFormat="1">
      <c r="A32" s="539">
        <v>21</v>
      </c>
      <c r="B32" s="537" t="s">
        <v>932</v>
      </c>
      <c r="C32" s="562">
        <v>594.32452000000001</v>
      </c>
      <c r="D32" s="562">
        <v>0.16852000000005773</v>
      </c>
      <c r="E32" s="562">
        <v>382</v>
      </c>
      <c r="F32" s="562">
        <v>369.75400000000002</v>
      </c>
      <c r="G32" s="562">
        <f t="shared" si="0"/>
        <v>12.414520000000039</v>
      </c>
      <c r="H32" s="563">
        <v>80.671999999999983</v>
      </c>
      <c r="I32" s="563">
        <v>1.9999999999988916E-3</v>
      </c>
      <c r="J32" s="563">
        <v>39</v>
      </c>
      <c r="K32" s="563">
        <v>38</v>
      </c>
      <c r="L32" s="562">
        <f t="shared" si="1"/>
        <v>1.0019999999999953</v>
      </c>
    </row>
    <row r="33" spans="1:13">
      <c r="A33" s="539">
        <v>22</v>
      </c>
      <c r="B33" s="537" t="s">
        <v>933</v>
      </c>
      <c r="C33" s="562">
        <v>795.28237999999999</v>
      </c>
      <c r="D33" s="562">
        <v>0.87937999999996919</v>
      </c>
      <c r="E33" s="562">
        <v>637.03300000000002</v>
      </c>
      <c r="F33" s="562">
        <v>588.29999999999995</v>
      </c>
      <c r="G33" s="562">
        <f t="shared" si="0"/>
        <v>49.61238000000003</v>
      </c>
      <c r="H33" s="563">
        <v>116.55099999999999</v>
      </c>
      <c r="I33" s="563">
        <v>0</v>
      </c>
      <c r="J33" s="563">
        <v>59.61</v>
      </c>
      <c r="K33" s="563">
        <v>57</v>
      </c>
      <c r="L33" s="562">
        <f t="shared" si="1"/>
        <v>2.6099999999999994</v>
      </c>
    </row>
    <row r="34" spans="1:13">
      <c r="A34" s="539">
        <v>23</v>
      </c>
      <c r="B34" s="537" t="s">
        <v>934</v>
      </c>
      <c r="C34" s="562">
        <v>1692.7810000000002</v>
      </c>
      <c r="D34" s="562">
        <v>1.8460000000000036</v>
      </c>
      <c r="E34" s="562">
        <v>1256.5</v>
      </c>
      <c r="F34" s="562">
        <v>1250.4000000000001</v>
      </c>
      <c r="G34" s="562">
        <f t="shared" si="0"/>
        <v>7.9459999999999127</v>
      </c>
      <c r="H34" s="563">
        <v>384.625</v>
      </c>
      <c r="I34" s="563">
        <v>0</v>
      </c>
      <c r="J34" s="563">
        <v>166.1</v>
      </c>
      <c r="K34" s="563">
        <v>164.1</v>
      </c>
      <c r="L34" s="562">
        <f t="shared" si="1"/>
        <v>2</v>
      </c>
    </row>
    <row r="35" spans="1:13">
      <c r="A35" s="539">
        <v>24</v>
      </c>
      <c r="B35" s="537" t="s">
        <v>935</v>
      </c>
      <c r="C35" s="562">
        <v>1126.564117754667</v>
      </c>
      <c r="D35" s="562">
        <v>3.646117754666875</v>
      </c>
      <c r="E35" s="562">
        <v>820.29500000000007</v>
      </c>
      <c r="F35" s="562">
        <v>771.85708799999998</v>
      </c>
      <c r="G35" s="562">
        <f t="shared" si="0"/>
        <v>52.084029754666972</v>
      </c>
      <c r="H35" s="563">
        <v>260.97400000000005</v>
      </c>
      <c r="I35" s="563">
        <v>3.0000000000143245E-3</v>
      </c>
      <c r="J35" s="563">
        <v>177.80799999999999</v>
      </c>
      <c r="K35" s="563">
        <v>148.558638</v>
      </c>
      <c r="L35" s="562">
        <f t="shared" si="1"/>
        <v>29.252362000000005</v>
      </c>
    </row>
    <row r="36" spans="1:13">
      <c r="A36" s="539">
        <v>25</v>
      </c>
      <c r="B36" s="537" t="s">
        <v>936</v>
      </c>
      <c r="C36" s="562">
        <v>2293.7586777546667</v>
      </c>
      <c r="D36" s="562">
        <v>2.7686777546664416</v>
      </c>
      <c r="E36" s="562">
        <v>1701</v>
      </c>
      <c r="F36" s="562">
        <v>1571.2095217000001</v>
      </c>
      <c r="G36" s="562">
        <f t="shared" si="0"/>
        <v>132.55915605466635</v>
      </c>
      <c r="H36" s="563">
        <v>524.3549999999999</v>
      </c>
      <c r="I36" s="563">
        <v>1.8659999999998718</v>
      </c>
      <c r="J36" s="563">
        <v>338</v>
      </c>
      <c r="K36" s="563">
        <v>295.35043719999999</v>
      </c>
      <c r="L36" s="562">
        <f t="shared" si="1"/>
        <v>44.515562799999884</v>
      </c>
    </row>
    <row r="37" spans="1:13">
      <c r="A37" s="539">
        <v>26</v>
      </c>
      <c r="B37" s="537" t="s">
        <v>937</v>
      </c>
      <c r="C37" s="562">
        <v>3037.0679577546662</v>
      </c>
      <c r="D37" s="562">
        <v>1.5069577546664732</v>
      </c>
      <c r="E37" s="562">
        <v>2208.2200000000003</v>
      </c>
      <c r="F37" s="562">
        <v>2040.2941008999999</v>
      </c>
      <c r="G37" s="562">
        <f t="shared" si="0"/>
        <v>169.43285685466685</v>
      </c>
      <c r="H37" s="563">
        <v>691.60500000000002</v>
      </c>
      <c r="I37" s="563">
        <v>0.50299999999992906</v>
      </c>
      <c r="J37" s="563">
        <v>486.096</v>
      </c>
      <c r="K37" s="563">
        <v>387.7945057</v>
      </c>
      <c r="L37" s="562">
        <f t="shared" si="1"/>
        <v>98.804494299999931</v>
      </c>
    </row>
    <row r="38" spans="1:13">
      <c r="A38" s="539">
        <v>27</v>
      </c>
      <c r="B38" s="537" t="s">
        <v>938</v>
      </c>
      <c r="C38" s="562">
        <v>2407.2561177546668</v>
      </c>
      <c r="D38" s="562">
        <v>1.6461177546666477</v>
      </c>
      <c r="E38" s="562">
        <v>1648.3000000000002</v>
      </c>
      <c r="F38" s="562">
        <v>1277.674</v>
      </c>
      <c r="G38" s="562">
        <f t="shared" si="0"/>
        <v>372.27211775466685</v>
      </c>
      <c r="H38" s="563">
        <v>550.37900000000013</v>
      </c>
      <c r="I38" s="563">
        <v>0.97000000000002728</v>
      </c>
      <c r="J38" s="563">
        <v>300.55</v>
      </c>
      <c r="K38" s="563">
        <v>209.82999999999998</v>
      </c>
      <c r="L38" s="562">
        <f t="shared" si="1"/>
        <v>91.690000000000055</v>
      </c>
    </row>
    <row r="39" spans="1:13">
      <c r="A39" s="539">
        <v>28</v>
      </c>
      <c r="B39" s="537" t="s">
        <v>939</v>
      </c>
      <c r="C39" s="562">
        <v>2562.3161177546663</v>
      </c>
      <c r="D39" s="562">
        <v>1.8591177546663857</v>
      </c>
      <c r="E39" s="562">
        <v>1885.6120000000001</v>
      </c>
      <c r="F39" s="562">
        <v>1851.6392000000001</v>
      </c>
      <c r="G39" s="562">
        <f t="shared" si="0"/>
        <v>35.831917754666392</v>
      </c>
      <c r="H39" s="563">
        <v>583.26800000000003</v>
      </c>
      <c r="I39" s="563">
        <v>0.98500000000001364</v>
      </c>
      <c r="J39" s="563">
        <v>369.83</v>
      </c>
      <c r="K39" s="563">
        <v>367.81509999999997</v>
      </c>
      <c r="L39" s="562">
        <f t="shared" si="1"/>
        <v>2.9999000000000251</v>
      </c>
    </row>
    <row r="40" spans="1:13">
      <c r="A40" s="539">
        <v>29</v>
      </c>
      <c r="B40" s="537" t="s">
        <v>940</v>
      </c>
      <c r="C40" s="562">
        <v>1680.0671177546669</v>
      </c>
      <c r="D40" s="562">
        <v>1.5931177546667641</v>
      </c>
      <c r="E40" s="562">
        <v>1224.8790000000001</v>
      </c>
      <c r="F40" s="562">
        <v>1181.8330000000001</v>
      </c>
      <c r="G40" s="562">
        <f t="shared" si="0"/>
        <v>44.639117754666813</v>
      </c>
      <c r="H40" s="563">
        <v>386.66800000000001</v>
      </c>
      <c r="I40" s="563">
        <v>3.999999999962256E-3</v>
      </c>
      <c r="J40" s="563">
        <v>230.25</v>
      </c>
      <c r="K40" s="563">
        <v>229.36799999999999</v>
      </c>
      <c r="L40" s="562">
        <f t="shared" si="1"/>
        <v>0.88599999999996726</v>
      </c>
    </row>
    <row r="41" spans="1:13">
      <c r="A41" s="539">
        <v>30</v>
      </c>
      <c r="B41" s="537" t="s">
        <v>941</v>
      </c>
      <c r="C41" s="562">
        <v>2678.3811177546672</v>
      </c>
      <c r="D41" s="562">
        <v>1.5381177546669278</v>
      </c>
      <c r="E41" s="562">
        <v>1951.5260000000001</v>
      </c>
      <c r="F41" s="562">
        <v>1942.921</v>
      </c>
      <c r="G41" s="562">
        <f t="shared" si="0"/>
        <v>10.143117754666946</v>
      </c>
      <c r="H41" s="563">
        <v>622.81899999999996</v>
      </c>
      <c r="I41" s="563">
        <v>0</v>
      </c>
      <c r="J41" s="563">
        <v>355.37700000000001</v>
      </c>
      <c r="K41" s="563">
        <v>345.44599999999997</v>
      </c>
      <c r="L41" s="562">
        <f t="shared" si="1"/>
        <v>9.93100000000004</v>
      </c>
    </row>
    <row r="42" spans="1:13">
      <c r="A42" s="539">
        <v>31</v>
      </c>
      <c r="B42" s="537" t="s">
        <v>942</v>
      </c>
      <c r="C42" s="562">
        <v>2596.4771177546668</v>
      </c>
      <c r="D42" s="562">
        <v>2.6901177546665167</v>
      </c>
      <c r="E42" s="562">
        <v>1444.8330000000001</v>
      </c>
      <c r="F42" s="562">
        <v>1431.396</v>
      </c>
      <c r="G42" s="562">
        <f t="shared" si="0"/>
        <v>16.127117754666642</v>
      </c>
      <c r="H42" s="563">
        <v>588.25300000000004</v>
      </c>
      <c r="I42" s="563">
        <v>0.55000000000001137</v>
      </c>
      <c r="J42" s="563">
        <v>277.3</v>
      </c>
      <c r="K42" s="563">
        <v>274.51300000000003</v>
      </c>
      <c r="L42" s="562">
        <f t="shared" si="1"/>
        <v>3.3369999999999891</v>
      </c>
    </row>
    <row r="43" spans="1:13">
      <c r="A43" s="539">
        <v>32</v>
      </c>
      <c r="B43" s="537" t="s">
        <v>943</v>
      </c>
      <c r="C43" s="562">
        <v>1736.066</v>
      </c>
      <c r="D43" s="562">
        <v>3.6380000000001473</v>
      </c>
      <c r="E43" s="562">
        <v>1070.461</v>
      </c>
      <c r="F43" s="562">
        <v>1027.1289999999999</v>
      </c>
      <c r="G43" s="562">
        <f t="shared" si="0"/>
        <v>46.970000000000255</v>
      </c>
      <c r="H43" s="563">
        <v>396.43199999999996</v>
      </c>
      <c r="I43" s="563">
        <v>9.9999999997635314E-4</v>
      </c>
      <c r="J43" s="563">
        <v>239.29199999999997</v>
      </c>
      <c r="K43" s="563">
        <v>202.96300000000002</v>
      </c>
      <c r="L43" s="562">
        <f t="shared" si="1"/>
        <v>36.329999999999927</v>
      </c>
    </row>
    <row r="44" spans="1:13">
      <c r="A44" s="539">
        <v>33</v>
      </c>
      <c r="B44" s="537" t="s">
        <v>944</v>
      </c>
      <c r="C44" s="562">
        <v>2217.0269999999996</v>
      </c>
      <c r="D44" s="562">
        <v>1.6029999999993834</v>
      </c>
      <c r="E44" s="562">
        <v>1609.8909999999998</v>
      </c>
      <c r="F44" s="562">
        <v>1444.1426099999999</v>
      </c>
      <c r="G44" s="562">
        <f t="shared" si="0"/>
        <v>167.35138999999936</v>
      </c>
      <c r="H44" s="563">
        <v>505.74700000000007</v>
      </c>
      <c r="I44" s="563">
        <v>0</v>
      </c>
      <c r="J44" s="563">
        <v>340.43200000000002</v>
      </c>
      <c r="K44" s="563">
        <v>334.43200000000002</v>
      </c>
      <c r="L44" s="562">
        <f t="shared" si="1"/>
        <v>6</v>
      </c>
    </row>
    <row r="45" spans="1:13">
      <c r="A45" s="539">
        <v>34</v>
      </c>
      <c r="B45" s="537" t="s">
        <v>945</v>
      </c>
      <c r="C45" s="562">
        <v>1441.8870000000002</v>
      </c>
      <c r="D45" s="562">
        <v>1.5090000000001282</v>
      </c>
      <c r="E45" s="562">
        <v>787.40000000000009</v>
      </c>
      <c r="F45" s="562">
        <v>778.90499999999997</v>
      </c>
      <c r="G45" s="562">
        <f t="shared" si="0"/>
        <v>10.004000000000246</v>
      </c>
      <c r="H45" s="563">
        <v>334.28499999999997</v>
      </c>
      <c r="I45" s="563">
        <v>0</v>
      </c>
      <c r="J45" s="563">
        <v>137.80000000000001</v>
      </c>
      <c r="K45" s="563">
        <v>137.80000000000001</v>
      </c>
      <c r="L45" s="562">
        <f t="shared" si="1"/>
        <v>0</v>
      </c>
    </row>
    <row r="46" spans="1:13">
      <c r="A46" s="559" t="s">
        <v>17</v>
      </c>
      <c r="B46" s="537"/>
      <c r="C46" s="564">
        <v>49374.481117754665</v>
      </c>
      <c r="D46" s="564">
        <f t="shared" ref="D46:L46" si="2">SUM(D12:D45)</f>
        <v>84.77111775466625</v>
      </c>
      <c r="E46" s="564">
        <f t="shared" si="2"/>
        <v>34085.281000000003</v>
      </c>
      <c r="F46" s="564">
        <f t="shared" si="2"/>
        <v>32109.347243051609</v>
      </c>
      <c r="G46" s="564">
        <f t="shared" si="2"/>
        <v>2060.7048747030544</v>
      </c>
      <c r="H46" s="564">
        <v>10948.649728617649</v>
      </c>
      <c r="I46" s="564">
        <f t="shared" si="2"/>
        <v>15.359728617646862</v>
      </c>
      <c r="J46" s="564">
        <f t="shared" si="2"/>
        <v>5884.1290000000008</v>
      </c>
      <c r="K46" s="564">
        <f t="shared" si="2"/>
        <v>5140.1010994483868</v>
      </c>
      <c r="L46" s="564">
        <f t="shared" si="2"/>
        <v>759.38762916925975</v>
      </c>
      <c r="M46" s="565">
        <f t="shared" ref="M46" si="3">SUM(M12:M45)</f>
        <v>0</v>
      </c>
    </row>
    <row r="47" spans="1:13">
      <c r="A47" s="19" t="s">
        <v>662</v>
      </c>
      <c r="B47" s="20"/>
      <c r="C47" s="408"/>
      <c r="D47" s="20"/>
      <c r="E47" s="20"/>
      <c r="F47" s="20"/>
      <c r="G47" s="408"/>
      <c r="H47" s="20"/>
      <c r="I47" s="20"/>
      <c r="J47" s="20"/>
      <c r="K47" s="20"/>
      <c r="L47" s="20"/>
    </row>
    <row r="48" spans="1:13" ht="15.75" customHeight="1">
      <c r="A48" s="14"/>
      <c r="B48" s="14"/>
      <c r="C48" s="14"/>
      <c r="D48" s="14"/>
      <c r="E48" s="14"/>
      <c r="F48" s="14"/>
      <c r="G48" s="14"/>
      <c r="H48" s="14"/>
      <c r="I48" s="14"/>
      <c r="J48" s="14"/>
      <c r="K48" s="14"/>
      <c r="L48" s="14"/>
    </row>
    <row r="49" spans="1:12" ht="15.75" customHeight="1">
      <c r="E49" s="15">
        <v>43656.399999999994</v>
      </c>
    </row>
    <row r="50" spans="1:12" ht="14.25" customHeight="1">
      <c r="A50" s="407"/>
      <c r="B50" s="407"/>
      <c r="C50" s="407"/>
      <c r="D50" s="407"/>
      <c r="E50" s="581">
        <f>D46+E49</f>
        <v>43741.17111775466</v>
      </c>
      <c r="F50" s="407"/>
      <c r="G50" s="407"/>
      <c r="H50" s="407"/>
      <c r="I50" s="407"/>
      <c r="J50" s="407"/>
      <c r="K50" s="407"/>
      <c r="L50" s="407"/>
    </row>
    <row r="51" spans="1:12" ht="12.75" customHeight="1">
      <c r="A51" s="407"/>
      <c r="B51" s="13"/>
      <c r="C51" s="13"/>
      <c r="D51" s="13"/>
      <c r="E51" s="13"/>
      <c r="F51" s="13"/>
      <c r="G51" s="407"/>
      <c r="H51" s="407"/>
      <c r="I51" s="804" t="s">
        <v>12</v>
      </c>
      <c r="J51" s="804"/>
      <c r="K51" s="804"/>
      <c r="L51" s="804"/>
    </row>
    <row r="52" spans="1:12" ht="12.75" customHeight="1">
      <c r="A52" s="803" t="s">
        <v>906</v>
      </c>
      <c r="B52" s="803"/>
      <c r="C52" s="803"/>
      <c r="D52" s="803"/>
      <c r="E52" s="375"/>
      <c r="F52" s="375"/>
      <c r="G52" s="407"/>
      <c r="H52" s="407"/>
      <c r="I52" s="804" t="s">
        <v>13</v>
      </c>
      <c r="J52" s="804"/>
      <c r="K52" s="804"/>
      <c r="L52" s="804"/>
    </row>
    <row r="53" spans="1:12" ht="15.75">
      <c r="A53" s="804" t="s">
        <v>907</v>
      </c>
      <c r="B53" s="804"/>
      <c r="C53" s="804"/>
      <c r="D53" s="804"/>
      <c r="E53" s="375"/>
      <c r="F53" s="375"/>
      <c r="G53" s="407"/>
      <c r="H53" s="407"/>
      <c r="I53" s="804" t="s">
        <v>18</v>
      </c>
      <c r="J53" s="804"/>
      <c r="K53" s="804"/>
      <c r="L53" s="804"/>
    </row>
    <row r="54" spans="1:12">
      <c r="A54" s="804" t="s">
        <v>908</v>
      </c>
      <c r="B54" s="804"/>
      <c r="C54" s="804"/>
      <c r="D54" s="804"/>
      <c r="E54"/>
      <c r="F54"/>
      <c r="G54" s="407"/>
      <c r="H54" s="407"/>
      <c r="I54" s="803" t="s">
        <v>84</v>
      </c>
      <c r="J54" s="803"/>
      <c r="K54" s="803"/>
      <c r="L54" s="803"/>
    </row>
    <row r="55" spans="1:12">
      <c r="A55" s="406"/>
      <c r="B55" s="406"/>
      <c r="C55" s="406"/>
      <c r="D55" s="406"/>
      <c r="E55" s="406"/>
      <c r="F55" s="406"/>
      <c r="G55" s="407"/>
      <c r="H55" s="407"/>
      <c r="I55" s="407"/>
      <c r="J55" s="407"/>
      <c r="K55" s="407"/>
      <c r="L55" s="407"/>
    </row>
    <row r="56" spans="1:12" ht="15.75">
      <c r="A56" s="13" t="s">
        <v>11</v>
      </c>
      <c r="B56" s="407"/>
      <c r="C56" s="407"/>
      <c r="D56" s="407"/>
      <c r="E56" s="407"/>
      <c r="F56" s="407"/>
      <c r="G56" s="407"/>
      <c r="H56" s="407"/>
      <c r="I56" s="407"/>
      <c r="J56" s="407"/>
      <c r="K56" s="407"/>
      <c r="L56" s="407"/>
    </row>
    <row r="57" spans="1:12">
      <c r="A57" s="407"/>
      <c r="B57" s="407"/>
      <c r="C57" s="407"/>
      <c r="D57" s="407"/>
      <c r="E57" s="407"/>
      <c r="F57" s="407"/>
      <c r="G57" s="407"/>
      <c r="H57" s="407"/>
      <c r="I57" s="407"/>
      <c r="J57" s="407"/>
      <c r="K57" s="407"/>
      <c r="L57" s="407"/>
    </row>
  </sheetData>
  <mergeCells count="18">
    <mergeCell ref="A54:D54"/>
    <mergeCell ref="I51:L51"/>
    <mergeCell ref="A52:D52"/>
    <mergeCell ref="I52:L52"/>
    <mergeCell ref="A53:D53"/>
    <mergeCell ref="I53:L53"/>
    <mergeCell ref="I54:L54"/>
    <mergeCell ref="I8:L8"/>
    <mergeCell ref="A9:A10"/>
    <mergeCell ref="B9:B10"/>
    <mergeCell ref="C9:G9"/>
    <mergeCell ref="H9:L9"/>
    <mergeCell ref="F7:L7"/>
    <mergeCell ref="A7:B7"/>
    <mergeCell ref="L1:M1"/>
    <mergeCell ref="A2:L2"/>
    <mergeCell ref="A3:L3"/>
    <mergeCell ref="A5:L5"/>
  </mergeCells>
  <phoneticPr fontId="0" type="noConversion"/>
  <printOptions horizontalCentered="1"/>
  <pageMargins left="0.70866141732283472" right="0.70866141732283472" top="0.23622047244094491" bottom="0" header="0.31496062992125984" footer="0.31496062992125984"/>
  <pageSetup paperSize="9" scale="74" orientation="landscape" r:id="rId1"/>
  <rowBreaks count="1" manualBreakCount="1">
    <brk id="54" max="16383"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A1:O63"/>
  <sheetViews>
    <sheetView view="pageBreakPreview" topLeftCell="A31" zoomScaleSheetLayoutView="100" workbookViewId="0">
      <selection activeCell="M57" sqref="M57"/>
    </sheetView>
  </sheetViews>
  <sheetFormatPr defaultRowHeight="12.75"/>
  <cols>
    <col min="1" max="1" width="5.7109375" style="140" customWidth="1"/>
    <col min="2" max="2" width="18.85546875" style="140" customWidth="1"/>
    <col min="3" max="3" width="13" style="140" customWidth="1"/>
    <col min="4" max="4" width="12" style="140" customWidth="1"/>
    <col min="5" max="5" width="12.42578125" style="140" customWidth="1"/>
    <col min="6" max="6" width="11.7109375" style="140" bestFit="1" customWidth="1"/>
    <col min="7" max="7" width="10.5703125" style="140" bestFit="1" customWidth="1"/>
    <col min="8" max="8" width="11.7109375" style="140" customWidth="1"/>
    <col min="9" max="9" width="9.28515625" style="140" bestFit="1" customWidth="1"/>
    <col min="10" max="10" width="12.140625" style="265" customWidth="1"/>
    <col min="11" max="11" width="12" style="140" customWidth="1"/>
    <col min="12" max="12" width="13.140625" style="140" customWidth="1"/>
    <col min="13" max="13" width="12.7109375" style="140" customWidth="1"/>
    <col min="14" max="16384" width="9.140625" style="140"/>
  </cols>
  <sheetData>
    <row r="1" spans="1:15">
      <c r="K1" s="846" t="s">
        <v>206</v>
      </c>
      <c r="L1" s="846"/>
      <c r="M1" s="846"/>
    </row>
    <row r="2" spans="1:15" ht="12.75" customHeight="1"/>
    <row r="3" spans="1:15" ht="15.75">
      <c r="B3" s="932" t="s">
        <v>0</v>
      </c>
      <c r="C3" s="932"/>
      <c r="D3" s="932"/>
      <c r="E3" s="932"/>
      <c r="F3" s="932"/>
      <c r="G3" s="932"/>
      <c r="H3" s="932"/>
      <c r="I3" s="932"/>
      <c r="J3" s="932"/>
      <c r="K3" s="932"/>
    </row>
    <row r="4" spans="1:15" ht="20.25">
      <c r="B4" s="933" t="s">
        <v>745</v>
      </c>
      <c r="C4" s="933"/>
      <c r="D4" s="933"/>
      <c r="E4" s="933"/>
      <c r="F4" s="933"/>
      <c r="G4" s="933"/>
      <c r="H4" s="933"/>
      <c r="I4" s="933"/>
      <c r="J4" s="933"/>
      <c r="K4" s="933"/>
    </row>
    <row r="5" spans="1:15" ht="10.5" customHeight="1"/>
    <row r="6" spans="1:15" ht="15.75">
      <c r="A6" s="338" t="s">
        <v>812</v>
      </c>
      <c r="B6" s="251"/>
      <c r="C6" s="251"/>
      <c r="D6" s="251"/>
      <c r="E6" s="251"/>
      <c r="F6" s="251"/>
      <c r="G6" s="251"/>
      <c r="H6" s="251"/>
      <c r="I6" s="251"/>
      <c r="J6" s="266"/>
      <c r="K6" s="251"/>
    </row>
    <row r="7" spans="1:15" ht="15.75">
      <c r="B7" s="141"/>
      <c r="C7" s="141"/>
      <c r="D7" s="141"/>
      <c r="E7" s="141"/>
      <c r="F7" s="141"/>
      <c r="G7" s="141"/>
      <c r="H7" s="141"/>
      <c r="L7" s="938" t="s">
        <v>187</v>
      </c>
      <c r="M7" s="938"/>
    </row>
    <row r="8" spans="1:15" ht="15.75">
      <c r="C8" s="141"/>
      <c r="D8" s="141"/>
      <c r="E8" s="141"/>
      <c r="F8" s="141"/>
      <c r="G8" s="914" t="s">
        <v>831</v>
      </c>
      <c r="H8" s="914"/>
      <c r="I8" s="914"/>
      <c r="J8" s="914"/>
      <c r="K8" s="914"/>
      <c r="L8" s="914"/>
      <c r="M8" s="914"/>
    </row>
    <row r="9" spans="1:15">
      <c r="A9" s="939" t="s">
        <v>24</v>
      </c>
      <c r="B9" s="942" t="s">
        <v>3</v>
      </c>
      <c r="C9" s="934" t="s">
        <v>851</v>
      </c>
      <c r="D9" s="934" t="s">
        <v>826</v>
      </c>
      <c r="E9" s="934" t="s">
        <v>220</v>
      </c>
      <c r="F9" s="934" t="s">
        <v>219</v>
      </c>
      <c r="G9" s="934"/>
      <c r="H9" s="934" t="s">
        <v>184</v>
      </c>
      <c r="I9" s="934"/>
      <c r="J9" s="935" t="s">
        <v>434</v>
      </c>
      <c r="K9" s="934" t="s">
        <v>186</v>
      </c>
      <c r="L9" s="934" t="s">
        <v>411</v>
      </c>
      <c r="M9" s="934" t="s">
        <v>234</v>
      </c>
    </row>
    <row r="10" spans="1:15">
      <c r="A10" s="940"/>
      <c r="B10" s="942"/>
      <c r="C10" s="934"/>
      <c r="D10" s="934"/>
      <c r="E10" s="934"/>
      <c r="F10" s="934"/>
      <c r="G10" s="934"/>
      <c r="H10" s="934"/>
      <c r="I10" s="934"/>
      <c r="J10" s="936"/>
      <c r="K10" s="934"/>
      <c r="L10" s="934"/>
      <c r="M10" s="934"/>
    </row>
    <row r="11" spans="1:15" ht="41.25" customHeight="1">
      <c r="A11" s="941"/>
      <c r="B11" s="942"/>
      <c r="C11" s="934"/>
      <c r="D11" s="934"/>
      <c r="E11" s="934"/>
      <c r="F11" s="142" t="s">
        <v>185</v>
      </c>
      <c r="G11" s="142" t="s">
        <v>235</v>
      </c>
      <c r="H11" s="142" t="s">
        <v>185</v>
      </c>
      <c r="I11" s="142" t="s">
        <v>235</v>
      </c>
      <c r="J11" s="937"/>
      <c r="K11" s="934"/>
      <c r="L11" s="934"/>
      <c r="M11" s="934"/>
    </row>
    <row r="12" spans="1:15">
      <c r="A12" s="145">
        <v>1</v>
      </c>
      <c r="B12" s="145">
        <v>2</v>
      </c>
      <c r="C12" s="145">
        <v>3</v>
      </c>
      <c r="D12" s="145">
        <v>4</v>
      </c>
      <c r="E12" s="145">
        <v>5</v>
      </c>
      <c r="F12" s="145">
        <v>6</v>
      </c>
      <c r="G12" s="145">
        <v>7</v>
      </c>
      <c r="H12" s="145">
        <v>8</v>
      </c>
      <c r="I12" s="145">
        <v>9</v>
      </c>
      <c r="J12" s="267"/>
      <c r="K12" s="145">
        <v>10</v>
      </c>
      <c r="L12" s="163">
        <v>11</v>
      </c>
      <c r="M12" s="163">
        <v>12</v>
      </c>
    </row>
    <row r="13" spans="1:15">
      <c r="A13" s="566">
        <v>1</v>
      </c>
      <c r="B13" s="537" t="s">
        <v>912</v>
      </c>
      <c r="C13" s="567">
        <f t="shared" ref="C13:C46" si="0">D13+E13</f>
        <v>67.407662892020326</v>
      </c>
      <c r="D13" s="567">
        <v>5.2876628920203217</v>
      </c>
      <c r="E13" s="567">
        <v>62.120000000000005</v>
      </c>
      <c r="F13" s="562">
        <f>T6_FG_py_Utlsn!E12+T6_FG_py_Utlsn!J12+'T6A_FG_Upy_Utlsn '!E12+'T6A_FG_Upy_Utlsn '!J12</f>
        <v>1759.5</v>
      </c>
      <c r="G13" s="567">
        <f>(((T6_FG_py_Utlsn!E12+'T6A_FG_Upy_Utlsn '!E12)*0.03)+((T6_FG_py_Utlsn!J12+'T6A_FG_Upy_Utlsn '!J12)*0.02))</f>
        <v>50.08</v>
      </c>
      <c r="H13" s="562">
        <v>1671.5249999999999</v>
      </c>
      <c r="I13" s="567">
        <v>47.575999999999993</v>
      </c>
      <c r="J13" s="567">
        <f>G13-I13</f>
        <v>2.5040000000000049</v>
      </c>
      <c r="K13" s="567">
        <f>D13+E13-G13</f>
        <v>17.327662892020328</v>
      </c>
      <c r="L13" s="567">
        <v>0</v>
      </c>
      <c r="M13" s="567">
        <v>0</v>
      </c>
      <c r="O13" s="411"/>
    </row>
    <row r="14" spans="1:15">
      <c r="A14" s="566">
        <v>2</v>
      </c>
      <c r="B14" s="537" t="s">
        <v>913</v>
      </c>
      <c r="C14" s="567">
        <f t="shared" si="0"/>
        <v>106.57754819805686</v>
      </c>
      <c r="D14" s="567">
        <v>17.387548198056848</v>
      </c>
      <c r="E14" s="567">
        <v>89.190000000000012</v>
      </c>
      <c r="F14" s="562">
        <f>T6_FG_py_Utlsn!E13+T6_FG_py_Utlsn!J13+'T6A_FG_Upy_Utlsn '!E13+'T6A_FG_Upy_Utlsn '!J13</f>
        <v>2079.1</v>
      </c>
      <c r="G14" s="567">
        <f>(((T6_FG_py_Utlsn!E13+'T6A_FG_Upy_Utlsn '!E13)*0.03)+((T6_FG_py_Utlsn!J13+'T6A_FG_Upy_Utlsn '!J13)*0.02))</f>
        <v>59.157999999999994</v>
      </c>
      <c r="H14" s="562">
        <v>2037.5179999999998</v>
      </c>
      <c r="I14" s="567">
        <v>57.974839999999993</v>
      </c>
      <c r="J14" s="567">
        <f t="shared" ref="J14:J46" si="1">G14-I14</f>
        <v>1.1831600000000009</v>
      </c>
      <c r="K14" s="567">
        <f t="shared" ref="K14:K46" si="2">D14+E14-G14</f>
        <v>47.419548198056866</v>
      </c>
      <c r="L14" s="567">
        <v>0</v>
      </c>
      <c r="M14" s="567">
        <v>0</v>
      </c>
      <c r="O14" s="411"/>
    </row>
    <row r="15" spans="1:15">
      <c r="A15" s="566">
        <v>3</v>
      </c>
      <c r="B15" s="537" t="s">
        <v>914</v>
      </c>
      <c r="C15" s="567">
        <f t="shared" si="0"/>
        <v>100.09142546127237</v>
      </c>
      <c r="D15" s="567">
        <v>2.2914254612723539</v>
      </c>
      <c r="E15" s="567">
        <v>97.800000000000011</v>
      </c>
      <c r="F15" s="562">
        <f>T6_FG_py_Utlsn!E14+T6_FG_py_Utlsn!J14+'T6A_FG_Upy_Utlsn '!E14+'T6A_FG_Upy_Utlsn '!J14</f>
        <v>2837.5949999999998</v>
      </c>
      <c r="G15" s="567">
        <f>(((T6_FG_py_Utlsn!E14+'T6A_FG_Upy_Utlsn '!E14)*0.03)+((T6_FG_py_Utlsn!J14+'T6A_FG_Upy_Utlsn '!J14)*0.02))</f>
        <v>80.702079999999995</v>
      </c>
      <c r="H15" s="562">
        <v>2667.3392999999996</v>
      </c>
      <c r="I15" s="567">
        <v>75.859955199999987</v>
      </c>
      <c r="J15" s="567">
        <f t="shared" si="1"/>
        <v>4.8421248000000077</v>
      </c>
      <c r="K15" s="567">
        <f t="shared" si="2"/>
        <v>19.38934546127237</v>
      </c>
      <c r="L15" s="567">
        <v>0</v>
      </c>
      <c r="M15" s="567">
        <v>0</v>
      </c>
      <c r="O15" s="411"/>
    </row>
    <row r="16" spans="1:15">
      <c r="A16" s="566">
        <v>4</v>
      </c>
      <c r="B16" s="537" t="s">
        <v>915</v>
      </c>
      <c r="C16" s="567">
        <f t="shared" si="0"/>
        <v>76.939786206139829</v>
      </c>
      <c r="D16" s="567">
        <v>4.9786206139827982E-2</v>
      </c>
      <c r="E16" s="567">
        <v>76.89</v>
      </c>
      <c r="F16" s="562">
        <f>T6_FG_py_Utlsn!E15+T6_FG_py_Utlsn!J15+'T6A_FG_Upy_Utlsn '!E15+'T6A_FG_Upy_Utlsn '!J15</f>
        <v>2331.942</v>
      </c>
      <c r="G16" s="567">
        <f>(((T6_FG_py_Utlsn!E15+'T6A_FG_Upy_Utlsn '!E15)*0.03)+((T6_FG_py_Utlsn!J15+'T6A_FG_Upy_Utlsn '!J15)*0.02))</f>
        <v>65.862449999999995</v>
      </c>
      <c r="H16" s="562">
        <v>2145.3866400000002</v>
      </c>
      <c r="I16" s="567">
        <v>60.593454000000001</v>
      </c>
      <c r="J16" s="567">
        <f t="shared" si="1"/>
        <v>5.2689959999999942</v>
      </c>
      <c r="K16" s="567">
        <f t="shared" si="2"/>
        <v>11.077336206139833</v>
      </c>
      <c r="L16" s="567">
        <v>0</v>
      </c>
      <c r="M16" s="567">
        <v>0</v>
      </c>
      <c r="N16" s="412"/>
      <c r="O16" s="411"/>
    </row>
    <row r="17" spans="1:15">
      <c r="A17" s="566">
        <v>5</v>
      </c>
      <c r="B17" s="537" t="s">
        <v>916</v>
      </c>
      <c r="C17" s="567">
        <f t="shared" si="0"/>
        <v>87.692108119962327</v>
      </c>
      <c r="D17" s="567">
        <v>4.9721081199623285</v>
      </c>
      <c r="E17" s="567">
        <v>82.72</v>
      </c>
      <c r="F17" s="562">
        <f>T6_FG_py_Utlsn!E16+T6_FG_py_Utlsn!J16+'T6A_FG_Upy_Utlsn '!E16+'T6A_FG_Upy_Utlsn '!J16</f>
        <v>2047.6</v>
      </c>
      <c r="G17" s="567">
        <f>(((T6_FG_py_Utlsn!E16+'T6A_FG_Upy_Utlsn '!E16)*0.03)+((T6_FG_py_Utlsn!J16+'T6A_FG_Upy_Utlsn '!J16)*0.02))</f>
        <v>60.199999999999996</v>
      </c>
      <c r="H17" s="562">
        <v>1945.2199999999998</v>
      </c>
      <c r="I17" s="567">
        <v>57.189999999999991</v>
      </c>
      <c r="J17" s="567">
        <f t="shared" si="1"/>
        <v>3.0100000000000051</v>
      </c>
      <c r="K17" s="567">
        <f t="shared" si="2"/>
        <v>27.492108119962332</v>
      </c>
      <c r="L17" s="567">
        <v>0</v>
      </c>
      <c r="M17" s="567">
        <v>0</v>
      </c>
      <c r="N17" s="412"/>
      <c r="O17" s="411"/>
    </row>
    <row r="18" spans="1:15">
      <c r="A18" s="566">
        <v>6</v>
      </c>
      <c r="B18" s="537" t="s">
        <v>917</v>
      </c>
      <c r="C18" s="567">
        <f t="shared" si="0"/>
        <v>43.132335754720806</v>
      </c>
      <c r="D18" s="567">
        <v>5.9223357547208124</v>
      </c>
      <c r="E18" s="567">
        <v>37.209999999999994</v>
      </c>
      <c r="F18" s="562">
        <f>T6_FG_py_Utlsn!E17+T6_FG_py_Utlsn!J17+'T6A_FG_Upy_Utlsn '!E17+'T6A_FG_Upy_Utlsn '!J17</f>
        <v>1064.1890000000001</v>
      </c>
      <c r="G18" s="567">
        <f>(((T6_FG_py_Utlsn!E17+'T6A_FG_Upy_Utlsn '!E17)*0.03)+((T6_FG_py_Utlsn!J17+'T6A_FG_Upy_Utlsn '!J17)*0.02))</f>
        <v>30.486450000000001</v>
      </c>
      <c r="H18" s="562">
        <v>1000.33766</v>
      </c>
      <c r="I18" s="567">
        <v>28.657263</v>
      </c>
      <c r="J18" s="567">
        <f t="shared" si="1"/>
        <v>1.829187000000001</v>
      </c>
      <c r="K18" s="567">
        <f t="shared" si="2"/>
        <v>12.645885754720805</v>
      </c>
      <c r="L18" s="567">
        <v>0</v>
      </c>
      <c r="M18" s="567">
        <v>0</v>
      </c>
      <c r="O18" s="411"/>
    </row>
    <row r="19" spans="1:15">
      <c r="A19" s="566">
        <v>7</v>
      </c>
      <c r="B19" s="537" t="s">
        <v>918</v>
      </c>
      <c r="C19" s="567">
        <f t="shared" si="0"/>
        <v>51.493277888488741</v>
      </c>
      <c r="D19" s="567">
        <v>10.283277888488747</v>
      </c>
      <c r="E19" s="567">
        <v>41.209999999999994</v>
      </c>
      <c r="F19" s="562">
        <f>T6_FG_py_Utlsn!E18+T6_FG_py_Utlsn!J18+'T6A_FG_Upy_Utlsn '!E18+'T6A_FG_Upy_Utlsn '!J18</f>
        <v>1191.0529999999999</v>
      </c>
      <c r="G19" s="567">
        <f>(((T6_FG_py_Utlsn!E18+'T6A_FG_Upy_Utlsn '!E18)*0.03)+((T6_FG_py_Utlsn!J18+'T6A_FG_Upy_Utlsn '!J18)*0.02))</f>
        <v>33.94314</v>
      </c>
      <c r="H19" s="562">
        <v>1083.85823</v>
      </c>
      <c r="I19" s="567">
        <v>30.888257400000001</v>
      </c>
      <c r="J19" s="567">
        <f t="shared" si="1"/>
        <v>3.0548825999999991</v>
      </c>
      <c r="K19" s="567">
        <f t="shared" si="2"/>
        <v>17.550137888488742</v>
      </c>
      <c r="L19" s="567">
        <v>0</v>
      </c>
      <c r="M19" s="567">
        <v>0</v>
      </c>
      <c r="O19" s="411"/>
    </row>
    <row r="20" spans="1:15">
      <c r="A20" s="566">
        <v>8</v>
      </c>
      <c r="B20" s="537" t="s">
        <v>919</v>
      </c>
      <c r="C20" s="567">
        <f t="shared" si="0"/>
        <v>64.031776889958778</v>
      </c>
      <c r="D20" s="567">
        <v>1.911776889958773</v>
      </c>
      <c r="E20" s="567">
        <v>62.120000000000005</v>
      </c>
      <c r="F20" s="562">
        <f>T6_FG_py_Utlsn!E19+T6_FG_py_Utlsn!J19+'T6A_FG_Upy_Utlsn '!E19+'T6A_FG_Upy_Utlsn '!J19</f>
        <v>1878.8210000000001</v>
      </c>
      <c r="G20" s="567">
        <f>(((T6_FG_py_Utlsn!E19+'T6A_FG_Upy_Utlsn '!E19)*0.03)+((T6_FG_py_Utlsn!J19+'T6A_FG_Upy_Utlsn '!J19)*0.02))</f>
        <v>53.037240000000004</v>
      </c>
      <c r="H20" s="562">
        <v>1747.3035300000004</v>
      </c>
      <c r="I20" s="567">
        <v>49.324633200000008</v>
      </c>
      <c r="J20" s="567">
        <f t="shared" si="1"/>
        <v>3.7126067999999961</v>
      </c>
      <c r="K20" s="567">
        <f t="shared" si="2"/>
        <v>10.994536889958773</v>
      </c>
      <c r="L20" s="567">
        <v>0</v>
      </c>
      <c r="M20" s="567">
        <v>0</v>
      </c>
      <c r="O20" s="411"/>
    </row>
    <row r="21" spans="1:15">
      <c r="A21" s="566">
        <v>9</v>
      </c>
      <c r="B21" s="537" t="s">
        <v>920</v>
      </c>
      <c r="C21" s="567">
        <f t="shared" si="0"/>
        <v>56.589381218971269</v>
      </c>
      <c r="D21" s="567">
        <v>3.0793812189712639</v>
      </c>
      <c r="E21" s="567">
        <v>53.510000000000005</v>
      </c>
      <c r="F21" s="562">
        <f>T6_FG_py_Utlsn!E20+T6_FG_py_Utlsn!J20+'T6A_FG_Upy_Utlsn '!E20+'T6A_FG_Upy_Utlsn '!J20</f>
        <v>1607.95</v>
      </c>
      <c r="G21" s="567">
        <f>(((T6_FG_py_Utlsn!E20+'T6A_FG_Upy_Utlsn '!E20)*0.03)+((T6_FG_py_Utlsn!J20+'T6A_FG_Upy_Utlsn '!J20)*0.02))</f>
        <v>45.371880000000004</v>
      </c>
      <c r="H21" s="562">
        <v>1591.8705</v>
      </c>
      <c r="I21" s="567">
        <v>44.9181612</v>
      </c>
      <c r="J21" s="567">
        <f t="shared" si="1"/>
        <v>0.45371880000000431</v>
      </c>
      <c r="K21" s="567">
        <f t="shared" si="2"/>
        <v>11.217501218971265</v>
      </c>
      <c r="L21" s="567">
        <v>0</v>
      </c>
      <c r="M21" s="567">
        <v>0</v>
      </c>
      <c r="N21" s="412"/>
      <c r="O21" s="411"/>
    </row>
    <row r="22" spans="1:15">
      <c r="A22" s="566">
        <v>10</v>
      </c>
      <c r="B22" s="537" t="s">
        <v>921</v>
      </c>
      <c r="C22" s="567">
        <f t="shared" si="0"/>
        <v>85.067619475783715</v>
      </c>
      <c r="D22" s="567">
        <v>9.7176194757837209</v>
      </c>
      <c r="E22" s="567">
        <v>75.349999999999994</v>
      </c>
      <c r="F22" s="562">
        <f>T6_FG_py_Utlsn!E21+T6_FG_py_Utlsn!J21+'T6A_FG_Upy_Utlsn '!E21+'T6A_FG_Upy_Utlsn '!J21</f>
        <v>1906.1</v>
      </c>
      <c r="G22" s="567">
        <f>(((T6_FG_py_Utlsn!E21+'T6A_FG_Upy_Utlsn '!E21)*0.03)+((T6_FG_py_Utlsn!J21+'T6A_FG_Upy_Utlsn '!J21)*0.02))</f>
        <v>54.712999999999994</v>
      </c>
      <c r="H22" s="562">
        <v>1753.6120000000001</v>
      </c>
      <c r="I22" s="567">
        <v>50.33596</v>
      </c>
      <c r="J22" s="567">
        <f t="shared" si="1"/>
        <v>4.3770399999999938</v>
      </c>
      <c r="K22" s="567">
        <f t="shared" si="2"/>
        <v>30.354619475783721</v>
      </c>
      <c r="L22" s="567">
        <v>0</v>
      </c>
      <c r="M22" s="567">
        <v>0</v>
      </c>
      <c r="N22" s="412"/>
      <c r="O22" s="411"/>
    </row>
    <row r="23" spans="1:15">
      <c r="A23" s="566">
        <v>11</v>
      </c>
      <c r="B23" s="537" t="s">
        <v>922</v>
      </c>
      <c r="C23" s="567">
        <f t="shared" si="0"/>
        <v>50.753587939573777</v>
      </c>
      <c r="D23" s="567">
        <v>1.5535879395737737</v>
      </c>
      <c r="E23" s="567">
        <v>49.2</v>
      </c>
      <c r="F23" s="562">
        <f>T6_FG_py_Utlsn!E22+T6_FG_py_Utlsn!J22+'T6A_FG_Upy_Utlsn '!E22+'T6A_FG_Upy_Utlsn '!J22</f>
        <v>1535.5509999999999</v>
      </c>
      <c r="G23" s="567">
        <f>(((T6_FG_py_Utlsn!E22+'T6A_FG_Upy_Utlsn '!E22)*0.03)+((T6_FG_py_Utlsn!J22+'T6A_FG_Upy_Utlsn '!J22)*0.02))</f>
        <v>43.770499999999998</v>
      </c>
      <c r="H23" s="562">
        <v>1381.9959000000001</v>
      </c>
      <c r="I23" s="567">
        <v>39.393450000000001</v>
      </c>
      <c r="J23" s="567">
        <f t="shared" si="1"/>
        <v>4.377049999999997</v>
      </c>
      <c r="K23" s="567">
        <f t="shared" si="2"/>
        <v>6.9830879395737782</v>
      </c>
      <c r="L23" s="567">
        <v>0</v>
      </c>
      <c r="M23" s="567">
        <v>0</v>
      </c>
      <c r="N23" s="412"/>
      <c r="O23" s="411"/>
    </row>
    <row r="24" spans="1:15">
      <c r="A24" s="566">
        <v>12</v>
      </c>
      <c r="B24" s="537" t="s">
        <v>923</v>
      </c>
      <c r="C24" s="567">
        <f t="shared" si="0"/>
        <v>157.23469719463128</v>
      </c>
      <c r="D24" s="567">
        <v>33.314697194631265</v>
      </c>
      <c r="E24" s="567">
        <v>123.92</v>
      </c>
      <c r="F24" s="562">
        <f>T6_FG_py_Utlsn!E23+T6_FG_py_Utlsn!J23+'T6A_FG_Upy_Utlsn '!E23+'T6A_FG_Upy_Utlsn '!J23</f>
        <v>2891.1029999999996</v>
      </c>
      <c r="G24" s="567">
        <f>(((T6_FG_py_Utlsn!E23+'T6A_FG_Upy_Utlsn '!E23)*0.03)+((T6_FG_py_Utlsn!J23+'T6A_FG_Upy_Utlsn '!J23)*0.02))</f>
        <v>83.761179999999996</v>
      </c>
      <c r="H24" s="562">
        <v>2688.72579</v>
      </c>
      <c r="I24" s="567">
        <v>77.897897399999991</v>
      </c>
      <c r="J24" s="567">
        <f t="shared" si="1"/>
        <v>5.8632826000000051</v>
      </c>
      <c r="K24" s="567">
        <f t="shared" si="2"/>
        <v>73.473517194631285</v>
      </c>
      <c r="L24" s="567">
        <v>0</v>
      </c>
      <c r="M24" s="567">
        <v>0</v>
      </c>
      <c r="O24" s="411"/>
    </row>
    <row r="25" spans="1:15">
      <c r="A25" s="566">
        <v>13</v>
      </c>
      <c r="B25" s="537" t="s">
        <v>924</v>
      </c>
      <c r="C25" s="567">
        <f t="shared" si="0"/>
        <v>64.764081637076259</v>
      </c>
      <c r="D25" s="567">
        <v>1.5640816370762565</v>
      </c>
      <c r="E25" s="567">
        <v>63.2</v>
      </c>
      <c r="F25" s="562">
        <f>T6_FG_py_Utlsn!E24+T6_FG_py_Utlsn!J24+'T6A_FG_Upy_Utlsn '!E24+'T6A_FG_Upy_Utlsn '!J24</f>
        <v>1735.0069999999998</v>
      </c>
      <c r="G25" s="567">
        <f>(((T6_FG_py_Utlsn!E24+'T6A_FG_Upy_Utlsn '!E24)*0.03)+((T6_FG_py_Utlsn!J24+'T6A_FG_Upy_Utlsn '!J24)*0.02))</f>
        <v>48.945629999999994</v>
      </c>
      <c r="H25" s="562">
        <v>1682.95679</v>
      </c>
      <c r="I25" s="567">
        <v>47.477261099999993</v>
      </c>
      <c r="J25" s="567">
        <f t="shared" si="1"/>
        <v>1.4683689000000015</v>
      </c>
      <c r="K25" s="567">
        <f t="shared" si="2"/>
        <v>15.818451637076265</v>
      </c>
      <c r="L25" s="567">
        <v>0</v>
      </c>
      <c r="M25" s="567">
        <v>0</v>
      </c>
      <c r="O25" s="411"/>
    </row>
    <row r="26" spans="1:15">
      <c r="A26" s="566">
        <v>14</v>
      </c>
      <c r="B26" s="537" t="s">
        <v>925</v>
      </c>
      <c r="C26" s="567">
        <f t="shared" si="0"/>
        <v>55.148366026183744</v>
      </c>
      <c r="D26" s="567">
        <v>9.318366026183746</v>
      </c>
      <c r="E26" s="567">
        <v>45.83</v>
      </c>
      <c r="F26" s="562">
        <f>T6_FG_py_Utlsn!E25+T6_FG_py_Utlsn!J25+'T6A_FG_Upy_Utlsn '!E25+'T6A_FG_Upy_Utlsn '!J25</f>
        <v>1266.0999999999999</v>
      </c>
      <c r="G26" s="567">
        <f>(((T6_FG_py_Utlsn!E25+'T6A_FG_Upy_Utlsn '!E25)*0.03)+((T6_FG_py_Utlsn!J25+'T6A_FG_Upy_Utlsn '!J25)*0.02))</f>
        <v>36.512999999999991</v>
      </c>
      <c r="H26" s="562">
        <v>1177.473</v>
      </c>
      <c r="I26" s="567">
        <v>33.957089999999994</v>
      </c>
      <c r="J26" s="567">
        <f t="shared" si="1"/>
        <v>2.5559099999999972</v>
      </c>
      <c r="K26" s="567">
        <f t="shared" si="2"/>
        <v>18.635366026183753</v>
      </c>
      <c r="L26" s="567">
        <v>0</v>
      </c>
      <c r="M26" s="567">
        <v>0</v>
      </c>
      <c r="O26" s="411"/>
    </row>
    <row r="27" spans="1:15">
      <c r="A27" s="566">
        <v>15</v>
      </c>
      <c r="B27" s="537" t="s">
        <v>926</v>
      </c>
      <c r="C27" s="567">
        <f t="shared" si="0"/>
        <v>34.067260044063765</v>
      </c>
      <c r="D27" s="567">
        <v>16.537260044063764</v>
      </c>
      <c r="E27" s="567">
        <v>17.53</v>
      </c>
      <c r="F27" s="562">
        <f>T6_FG_py_Utlsn!E26+T6_FG_py_Utlsn!J26+'T6A_FG_Upy_Utlsn '!E26+'T6A_FG_Upy_Utlsn '!J26</f>
        <v>333.84699999999998</v>
      </c>
      <c r="G27" s="567">
        <f>(((T6_FG_py_Utlsn!E26+'T6A_FG_Upy_Utlsn '!E26)*0.03)+((T6_FG_py_Utlsn!J26+'T6A_FG_Upy_Utlsn '!J26)*0.02))</f>
        <v>10.015409999999999</v>
      </c>
      <c r="H27" s="562">
        <v>323.83158999999995</v>
      </c>
      <c r="I27" s="567">
        <v>9.714947699999998</v>
      </c>
      <c r="J27" s="567">
        <f t="shared" si="1"/>
        <v>0.30046230000000129</v>
      </c>
      <c r="K27" s="567">
        <f t="shared" si="2"/>
        <v>24.051850044063766</v>
      </c>
      <c r="L27" s="567">
        <v>0</v>
      </c>
      <c r="M27" s="567">
        <v>0</v>
      </c>
      <c r="O27" s="411"/>
    </row>
    <row r="28" spans="1:15">
      <c r="A28" s="566">
        <v>16</v>
      </c>
      <c r="B28" s="537" t="s">
        <v>927</v>
      </c>
      <c r="C28" s="567">
        <f t="shared" si="0"/>
        <v>70.368233675063792</v>
      </c>
      <c r="D28" s="567">
        <v>3.0182336750637973</v>
      </c>
      <c r="E28" s="567">
        <v>67.349999999999994</v>
      </c>
      <c r="F28" s="562">
        <f>T6_FG_py_Utlsn!E27+T6_FG_py_Utlsn!J27+'T6A_FG_Upy_Utlsn '!E27+'T6A_FG_Upy_Utlsn '!J27</f>
        <v>1869.7889999999998</v>
      </c>
      <c r="G28" s="567">
        <f>(((T6_FG_py_Utlsn!E27+'T6A_FG_Upy_Utlsn '!E27)*0.03)+((T6_FG_py_Utlsn!J27+'T6A_FG_Upy_Utlsn '!J27)*0.02))</f>
        <v>53.984670000000008</v>
      </c>
      <c r="H28" s="562">
        <v>1794.9974400000001</v>
      </c>
      <c r="I28" s="567">
        <v>51.825283200000001</v>
      </c>
      <c r="J28" s="567">
        <f t="shared" si="1"/>
        <v>2.1593868000000072</v>
      </c>
      <c r="K28" s="567">
        <f t="shared" si="2"/>
        <v>16.383563675063783</v>
      </c>
      <c r="L28" s="567">
        <v>0</v>
      </c>
      <c r="M28" s="567">
        <v>0</v>
      </c>
      <c r="O28" s="411"/>
    </row>
    <row r="29" spans="1:15">
      <c r="A29" s="566">
        <v>17</v>
      </c>
      <c r="B29" s="537" t="s">
        <v>928</v>
      </c>
      <c r="C29" s="567">
        <f t="shared" si="0"/>
        <v>56.777533955186264</v>
      </c>
      <c r="D29" s="567">
        <v>11.567533955186271</v>
      </c>
      <c r="E29" s="567">
        <v>45.209999999999994</v>
      </c>
      <c r="F29" s="562">
        <f>T6_FG_py_Utlsn!E28+T6_FG_py_Utlsn!J28+'T6A_FG_Upy_Utlsn '!E28+'T6A_FG_Upy_Utlsn '!J28</f>
        <v>1194.98</v>
      </c>
      <c r="G29" s="567">
        <f>(((T6_FG_py_Utlsn!E28+'T6A_FG_Upy_Utlsn '!E28)*0.03)+((T6_FG_py_Utlsn!J28+'T6A_FG_Upy_Utlsn '!J28)*0.02))</f>
        <v>35.009399999999999</v>
      </c>
      <c r="H29" s="562">
        <v>1111.3314</v>
      </c>
      <c r="I29" s="567">
        <v>32.558742000000002</v>
      </c>
      <c r="J29" s="567">
        <f t="shared" si="1"/>
        <v>2.4506579999999971</v>
      </c>
      <c r="K29" s="567">
        <f t="shared" si="2"/>
        <v>21.768133955186265</v>
      </c>
      <c r="L29" s="567">
        <v>0</v>
      </c>
      <c r="M29" s="567">
        <v>0</v>
      </c>
      <c r="O29" s="411"/>
    </row>
    <row r="30" spans="1:15">
      <c r="A30" s="566">
        <v>18</v>
      </c>
      <c r="B30" s="537" t="s">
        <v>929</v>
      </c>
      <c r="C30" s="567">
        <f t="shared" si="0"/>
        <v>81.605838002251275</v>
      </c>
      <c r="D30" s="567">
        <v>4.7158380022512603</v>
      </c>
      <c r="E30" s="567">
        <v>76.890000000000015</v>
      </c>
      <c r="F30" s="562">
        <f>T6_FG_py_Utlsn!E29+T6_FG_py_Utlsn!J29+'T6A_FG_Upy_Utlsn '!E29+'T6A_FG_Upy_Utlsn '!J29</f>
        <v>1942.2570000000001</v>
      </c>
      <c r="G30" s="567">
        <f>(((T6_FG_py_Utlsn!E29+'T6A_FG_Upy_Utlsn '!E29)*0.03)+((T6_FG_py_Utlsn!J29+'T6A_FG_Upy_Utlsn '!J29)*0.02))</f>
        <v>56.443349999999995</v>
      </c>
      <c r="H30" s="562">
        <v>1845.1441499999999</v>
      </c>
      <c r="I30" s="567">
        <v>53.621182499999996</v>
      </c>
      <c r="J30" s="567">
        <f t="shared" si="1"/>
        <v>2.8221674999999991</v>
      </c>
      <c r="K30" s="567">
        <f t="shared" si="2"/>
        <v>25.16248800225128</v>
      </c>
      <c r="L30" s="567">
        <v>0</v>
      </c>
      <c r="M30" s="567">
        <v>0</v>
      </c>
      <c r="O30" s="411"/>
    </row>
    <row r="31" spans="1:15">
      <c r="A31" s="566">
        <v>19</v>
      </c>
      <c r="B31" s="537" t="s">
        <v>930</v>
      </c>
      <c r="C31" s="567">
        <f t="shared" si="0"/>
        <v>53.120355399571267</v>
      </c>
      <c r="D31" s="567">
        <v>10.680355399571262</v>
      </c>
      <c r="E31" s="567">
        <v>42.440000000000005</v>
      </c>
      <c r="F31" s="562">
        <f>T6_FG_py_Utlsn!E30+T6_FG_py_Utlsn!J30+'T6A_FG_Upy_Utlsn '!E30+'T6A_FG_Upy_Utlsn '!J30</f>
        <v>1198.7939999999999</v>
      </c>
      <c r="G31" s="567">
        <f>(((T6_FG_py_Utlsn!E30+'T6A_FG_Upy_Utlsn '!E30)*0.03)+((T6_FG_py_Utlsn!J30+'T6A_FG_Upy_Utlsn '!J30)*0.02))</f>
        <v>35.963819999999991</v>
      </c>
      <c r="H31" s="562">
        <v>1150.8422399999997</v>
      </c>
      <c r="I31" s="567">
        <v>34.525267199999988</v>
      </c>
      <c r="J31" s="567">
        <f t="shared" si="1"/>
        <v>1.4385528000000036</v>
      </c>
      <c r="K31" s="567">
        <f t="shared" si="2"/>
        <v>17.156535399571275</v>
      </c>
      <c r="L31" s="567">
        <v>0</v>
      </c>
      <c r="M31" s="567">
        <v>0</v>
      </c>
      <c r="O31" s="411"/>
    </row>
    <row r="32" spans="1:15">
      <c r="A32" s="566">
        <v>20</v>
      </c>
      <c r="B32" s="537" t="s">
        <v>931</v>
      </c>
      <c r="C32" s="567">
        <f t="shared" si="0"/>
        <v>125.26229250853373</v>
      </c>
      <c r="D32" s="567">
        <v>20.682292508533735</v>
      </c>
      <c r="E32" s="567">
        <v>104.58</v>
      </c>
      <c r="F32" s="562">
        <f>T6_FG_py_Utlsn!E31+T6_FG_py_Utlsn!J31+'T6A_FG_Upy_Utlsn '!E31+'T6A_FG_Upy_Utlsn '!J31</f>
        <v>2929.7110000000002</v>
      </c>
      <c r="G32" s="567">
        <f>(((T6_FG_py_Utlsn!E31+'T6A_FG_Upy_Utlsn '!E31)*0.03)+((T6_FG_py_Utlsn!J31+'T6A_FG_Upy_Utlsn '!J31)*0.02))</f>
        <v>82.715620000000015</v>
      </c>
      <c r="H32" s="562">
        <v>2724.6312300000004</v>
      </c>
      <c r="I32" s="567">
        <v>76.925526600000012</v>
      </c>
      <c r="J32" s="567">
        <f t="shared" si="1"/>
        <v>5.7900934000000035</v>
      </c>
      <c r="K32" s="567">
        <f t="shared" si="2"/>
        <v>42.546672508533717</v>
      </c>
      <c r="L32" s="567">
        <v>0</v>
      </c>
      <c r="M32" s="567">
        <v>0</v>
      </c>
      <c r="O32" s="411"/>
    </row>
    <row r="33" spans="1:15">
      <c r="A33" s="566">
        <v>21</v>
      </c>
      <c r="B33" s="537" t="s">
        <v>932</v>
      </c>
      <c r="C33" s="567">
        <f t="shared" si="0"/>
        <v>34.191136655163774</v>
      </c>
      <c r="D33" s="567">
        <v>0.66113665516377296</v>
      </c>
      <c r="E33" s="567">
        <v>33.53</v>
      </c>
      <c r="F33" s="562">
        <f>T6_FG_py_Utlsn!E32+T6_FG_py_Utlsn!J32+'T6A_FG_Upy_Utlsn '!E32+'T6A_FG_Upy_Utlsn '!J32</f>
        <v>899</v>
      </c>
      <c r="G33" s="567">
        <f>(((T6_FG_py_Utlsn!E32+'T6A_FG_Upy_Utlsn '!E32)*0.03)+((T6_FG_py_Utlsn!J32+'T6A_FG_Upy_Utlsn '!J32)*0.02))</f>
        <v>26.23</v>
      </c>
      <c r="H33" s="562">
        <v>881.02</v>
      </c>
      <c r="I33" s="567">
        <v>25.705399999999997</v>
      </c>
      <c r="J33" s="567">
        <f t="shared" si="1"/>
        <v>0.52460000000000306</v>
      </c>
      <c r="K33" s="567">
        <f t="shared" si="2"/>
        <v>7.9611366551637737</v>
      </c>
      <c r="L33" s="567">
        <v>0</v>
      </c>
      <c r="M33" s="567">
        <v>0</v>
      </c>
      <c r="O33" s="411"/>
    </row>
    <row r="34" spans="1:15">
      <c r="A34" s="566">
        <v>22</v>
      </c>
      <c r="B34" s="537" t="s">
        <v>933</v>
      </c>
      <c r="C34" s="567">
        <f t="shared" si="0"/>
        <v>54.716259072238756</v>
      </c>
      <c r="D34" s="567">
        <v>4.2762590722387586</v>
      </c>
      <c r="E34" s="567">
        <v>50.44</v>
      </c>
      <c r="F34" s="562">
        <f>T6_FG_py_Utlsn!E33+T6_FG_py_Utlsn!J33+'T6A_FG_Upy_Utlsn '!E33+'T6A_FG_Upy_Utlsn '!J33</f>
        <v>1454.912</v>
      </c>
      <c r="G34" s="567">
        <f>(((T6_FG_py_Utlsn!E33+'T6A_FG_Upy_Utlsn '!E33)*0.03)+((T6_FG_py_Utlsn!J33+'T6A_FG_Upy_Utlsn '!J33)*0.02))</f>
        <v>42.401559999999996</v>
      </c>
      <c r="H34" s="562">
        <v>1396.71552</v>
      </c>
      <c r="I34" s="567">
        <v>40.705497600000001</v>
      </c>
      <c r="J34" s="567">
        <f t="shared" si="1"/>
        <v>1.6960623999999953</v>
      </c>
      <c r="K34" s="567">
        <f t="shared" si="2"/>
        <v>12.31469907223876</v>
      </c>
      <c r="L34" s="567">
        <v>0</v>
      </c>
      <c r="M34" s="567">
        <v>0</v>
      </c>
      <c r="O34" s="411"/>
    </row>
    <row r="35" spans="1:15">
      <c r="A35" s="566">
        <v>23</v>
      </c>
      <c r="B35" s="537" t="s">
        <v>934</v>
      </c>
      <c r="C35" s="567">
        <f t="shared" si="0"/>
        <v>141.38916111349624</v>
      </c>
      <c r="D35" s="567">
        <v>34.979161113496247</v>
      </c>
      <c r="E35" s="567">
        <v>106.41000000000001</v>
      </c>
      <c r="F35" s="562">
        <f>T6_FG_py_Utlsn!E34+T6_FG_py_Utlsn!J34+'T6A_FG_Upy_Utlsn '!E34+'T6A_FG_Upy_Utlsn '!J34</f>
        <v>3033.1</v>
      </c>
      <c r="G35" s="567">
        <f>(((T6_FG_py_Utlsn!E34+'T6A_FG_Upy_Utlsn '!E34)*0.03)+((T6_FG_py_Utlsn!J34+'T6A_FG_Upy_Utlsn '!J34)*0.02))</f>
        <v>87.488</v>
      </c>
      <c r="H35" s="562">
        <v>2851.1139999999996</v>
      </c>
      <c r="I35" s="567">
        <v>82.238719999999986</v>
      </c>
      <c r="J35" s="567">
        <f t="shared" si="1"/>
        <v>5.249280000000013</v>
      </c>
      <c r="K35" s="567">
        <f t="shared" si="2"/>
        <v>53.901161113496244</v>
      </c>
      <c r="L35" s="567">
        <v>0</v>
      </c>
      <c r="M35" s="567">
        <v>0</v>
      </c>
      <c r="N35" s="412"/>
      <c r="O35" s="411"/>
    </row>
    <row r="36" spans="1:15" s="143" customFormat="1">
      <c r="A36" s="566">
        <v>24</v>
      </c>
      <c r="B36" s="537" t="s">
        <v>935</v>
      </c>
      <c r="C36" s="567">
        <f t="shared" si="0"/>
        <v>98.612040348921255</v>
      </c>
      <c r="D36" s="567">
        <v>24.802040348921253</v>
      </c>
      <c r="E36" s="567">
        <v>73.81</v>
      </c>
      <c r="F36" s="562">
        <f>T6_FG_py_Utlsn!E35+T6_FG_py_Utlsn!J35+'T6A_FG_Upy_Utlsn '!E35+'T6A_FG_Upy_Utlsn '!J35</f>
        <v>2190.5600000000004</v>
      </c>
      <c r="G36" s="567">
        <f>(((T6_FG_py_Utlsn!E35+'T6A_FG_Upy_Utlsn '!E35)*0.03)+((T6_FG_py_Utlsn!J35+'T6A_FG_Upy_Utlsn '!J35)*0.02))</f>
        <v>61.848980000000012</v>
      </c>
      <c r="H36" s="562">
        <v>2124.8432000000003</v>
      </c>
      <c r="I36" s="567">
        <v>59.9935106</v>
      </c>
      <c r="J36" s="567">
        <f t="shared" si="1"/>
        <v>1.8554694000000111</v>
      </c>
      <c r="K36" s="567">
        <f t="shared" si="2"/>
        <v>36.763060348921243</v>
      </c>
      <c r="L36" s="567">
        <v>0</v>
      </c>
      <c r="M36" s="567">
        <v>0</v>
      </c>
      <c r="N36" s="412"/>
      <c r="O36" s="411"/>
    </row>
    <row r="37" spans="1:15" s="143" customFormat="1">
      <c r="A37" s="566">
        <v>25</v>
      </c>
      <c r="B37" s="537" t="s">
        <v>936</v>
      </c>
      <c r="C37" s="567">
        <f t="shared" si="0"/>
        <v>144.97070739302882</v>
      </c>
      <c r="D37" s="567">
        <v>1.0407073930288107</v>
      </c>
      <c r="E37" s="567">
        <v>143.93</v>
      </c>
      <c r="F37" s="562">
        <f>T6_FG_py_Utlsn!E36+T6_FG_py_Utlsn!J36+'T6A_FG_Upy_Utlsn '!E36+'T6A_FG_Upy_Utlsn '!J36</f>
        <v>4195</v>
      </c>
      <c r="G37" s="567">
        <f>(((T6_FG_py_Utlsn!E36+'T6A_FG_Upy_Utlsn '!E36)*0.03)+((T6_FG_py_Utlsn!J36+'T6A_FG_Upy_Utlsn '!J36)*0.02))</f>
        <v>118.69</v>
      </c>
      <c r="H37" s="562">
        <v>4153.05</v>
      </c>
      <c r="I37" s="567">
        <v>117.5031</v>
      </c>
      <c r="J37" s="567">
        <f t="shared" si="1"/>
        <v>1.1868999999999943</v>
      </c>
      <c r="K37" s="567">
        <f t="shared" si="2"/>
        <v>26.28070739302882</v>
      </c>
      <c r="L37" s="567">
        <v>0</v>
      </c>
      <c r="M37" s="567">
        <v>0</v>
      </c>
      <c r="N37" s="412"/>
      <c r="O37" s="411"/>
    </row>
    <row r="38" spans="1:15" ht="15.75" customHeight="1">
      <c r="A38" s="566">
        <v>26</v>
      </c>
      <c r="B38" s="537" t="s">
        <v>937</v>
      </c>
      <c r="C38" s="567">
        <f t="shared" si="0"/>
        <v>198.49993576491374</v>
      </c>
      <c r="D38" s="567">
        <v>3.1999357649137323</v>
      </c>
      <c r="E38" s="567">
        <v>195.3</v>
      </c>
      <c r="F38" s="562">
        <f>T6_FG_py_Utlsn!E37+T6_FG_py_Utlsn!J37+'T6A_FG_Upy_Utlsn '!E37+'T6A_FG_Upy_Utlsn '!J37</f>
        <v>5692.9930000000004</v>
      </c>
      <c r="G38" s="567">
        <f>(((T6_FG_py_Utlsn!E37+'T6A_FG_Upy_Utlsn '!E37)*0.03)+((T6_FG_py_Utlsn!J37+'T6A_FG_Upy_Utlsn '!J37)*0.02))</f>
        <v>160.75992000000002</v>
      </c>
      <c r="H38" s="562">
        <v>5522.2032100000006</v>
      </c>
      <c r="I38" s="567">
        <v>155.93712240000002</v>
      </c>
      <c r="J38" s="567">
        <f t="shared" si="1"/>
        <v>4.8227976000000012</v>
      </c>
      <c r="K38" s="567">
        <f t="shared" si="2"/>
        <v>37.740015764913721</v>
      </c>
      <c r="L38" s="567">
        <v>0</v>
      </c>
      <c r="M38" s="567">
        <v>0</v>
      </c>
      <c r="N38" s="412"/>
      <c r="O38" s="411"/>
    </row>
    <row r="39" spans="1:15" ht="15.75" customHeight="1">
      <c r="A39" s="566">
        <v>27</v>
      </c>
      <c r="B39" s="537" t="s">
        <v>938</v>
      </c>
      <c r="C39" s="567">
        <f t="shared" si="0"/>
        <v>170.60646239496381</v>
      </c>
      <c r="D39" s="567">
        <v>16.826462394963812</v>
      </c>
      <c r="E39" s="567">
        <v>153.78</v>
      </c>
      <c r="F39" s="562">
        <f>T6_FG_py_Utlsn!E38+T6_FG_py_Utlsn!J38+'T6A_FG_Upy_Utlsn '!E38+'T6A_FG_Upy_Utlsn '!J38</f>
        <v>3998.4500000000003</v>
      </c>
      <c r="G39" s="567">
        <f>(((T6_FG_py_Utlsn!E38+'T6A_FG_Upy_Utlsn '!E38)*0.03)+((T6_FG_py_Utlsn!J38+'T6A_FG_Upy_Utlsn '!J38)*0.02))</f>
        <v>113.518</v>
      </c>
      <c r="H39" s="562">
        <v>3918.4810000000002</v>
      </c>
      <c r="I39" s="567">
        <v>111.24764</v>
      </c>
      <c r="J39" s="567">
        <f t="shared" si="1"/>
        <v>2.2703599999999966</v>
      </c>
      <c r="K39" s="567">
        <f t="shared" si="2"/>
        <v>57.088462394963813</v>
      </c>
      <c r="L39" s="567">
        <v>0</v>
      </c>
      <c r="M39" s="567">
        <v>0</v>
      </c>
      <c r="N39" s="412"/>
      <c r="O39" s="411"/>
    </row>
    <row r="40" spans="1:15" ht="15.75" customHeight="1">
      <c r="A40" s="566">
        <v>28</v>
      </c>
      <c r="B40" s="537" t="s">
        <v>939</v>
      </c>
      <c r="C40" s="567">
        <f t="shared" si="0"/>
        <v>190.76303665321123</v>
      </c>
      <c r="D40" s="567">
        <v>19.153036653211217</v>
      </c>
      <c r="E40" s="567">
        <v>171.61</v>
      </c>
      <c r="F40" s="562">
        <f>T6_FG_py_Utlsn!E39+T6_FG_py_Utlsn!J39+'T6A_FG_Upy_Utlsn '!E39+'T6A_FG_Upy_Utlsn '!J39</f>
        <v>5036.9009999999998</v>
      </c>
      <c r="G40" s="567">
        <f>(((T6_FG_py_Utlsn!E39+'T6A_FG_Upy_Utlsn '!E39)*0.03)+((T6_FG_py_Utlsn!J39+'T6A_FG_Upy_Utlsn '!J39)*0.02))</f>
        <v>142.59296999999998</v>
      </c>
      <c r="H40" s="562">
        <v>4986.5319899999995</v>
      </c>
      <c r="I40" s="567">
        <v>141.1670403</v>
      </c>
      <c r="J40" s="567">
        <f t="shared" si="1"/>
        <v>1.4259296999999833</v>
      </c>
      <c r="K40" s="567">
        <f t="shared" si="2"/>
        <v>48.170066653211251</v>
      </c>
      <c r="L40" s="567">
        <v>0</v>
      </c>
      <c r="M40" s="567">
        <v>0</v>
      </c>
      <c r="O40" s="411"/>
    </row>
    <row r="41" spans="1:15" ht="15.75" customHeight="1">
      <c r="A41" s="566">
        <v>29</v>
      </c>
      <c r="B41" s="537" t="s">
        <v>940</v>
      </c>
      <c r="C41" s="567">
        <f t="shared" si="0"/>
        <v>129.44330528517872</v>
      </c>
      <c r="D41" s="567">
        <v>21.513305285178745</v>
      </c>
      <c r="E41" s="567">
        <v>107.92999999999999</v>
      </c>
      <c r="F41" s="562">
        <f>T6_FG_py_Utlsn!E40+T6_FG_py_Utlsn!J40+'T6A_FG_Upy_Utlsn '!E40+'T6A_FG_Upy_Utlsn '!J40</f>
        <v>3104.0919999999996</v>
      </c>
      <c r="G41" s="567">
        <f>(((T6_FG_py_Utlsn!E40+'T6A_FG_Upy_Utlsn '!E40)*0.03)+((T6_FG_py_Utlsn!J40+'T6A_FG_Upy_Utlsn '!J40)*0.02))</f>
        <v>87.940870000000004</v>
      </c>
      <c r="H41" s="562">
        <v>2918.1568892</v>
      </c>
      <c r="I41" s="567">
        <v>82.673211887000008</v>
      </c>
      <c r="J41" s="567">
        <f t="shared" si="1"/>
        <v>5.267658112999996</v>
      </c>
      <c r="K41" s="567">
        <f t="shared" si="2"/>
        <v>41.50243528517872</v>
      </c>
      <c r="L41" s="567">
        <v>0</v>
      </c>
      <c r="M41" s="567">
        <v>0</v>
      </c>
      <c r="N41" s="412"/>
      <c r="O41" s="411"/>
    </row>
    <row r="42" spans="1:15" ht="15.75" customHeight="1">
      <c r="A42" s="566">
        <v>30</v>
      </c>
      <c r="B42" s="537" t="s">
        <v>941</v>
      </c>
      <c r="C42" s="567">
        <f t="shared" si="0"/>
        <v>229.25694950625871</v>
      </c>
      <c r="D42" s="567">
        <v>45.066949506258709</v>
      </c>
      <c r="E42" s="567">
        <v>184.19</v>
      </c>
      <c r="F42" s="562">
        <f>T6_FG_py_Utlsn!E41+T6_FG_py_Utlsn!J41+'T6A_FG_Upy_Utlsn '!E41+'T6A_FG_Upy_Utlsn '!J41</f>
        <v>4795.304000000001</v>
      </c>
      <c r="G42" s="567">
        <f>(((T6_FG_py_Utlsn!E41+'T6A_FG_Upy_Utlsn '!E41)*0.03)+((T6_FG_py_Utlsn!J41+'T6A_FG_Upy_Utlsn '!J41)*0.02))</f>
        <v>136.52314000000001</v>
      </c>
      <c r="H42" s="562">
        <v>4412.1592104000001</v>
      </c>
      <c r="I42" s="567">
        <v>125.61494111399999</v>
      </c>
      <c r="J42" s="567">
        <f t="shared" si="1"/>
        <v>10.908198886000022</v>
      </c>
      <c r="K42" s="567">
        <f t="shared" si="2"/>
        <v>92.733809506258694</v>
      </c>
      <c r="L42" s="567">
        <v>0</v>
      </c>
      <c r="M42" s="567">
        <v>0</v>
      </c>
      <c r="O42" s="411"/>
    </row>
    <row r="43" spans="1:15" ht="15.75" customHeight="1">
      <c r="A43" s="566">
        <v>31</v>
      </c>
      <c r="B43" s="537" t="s">
        <v>942</v>
      </c>
      <c r="C43" s="567">
        <f t="shared" si="0"/>
        <v>194.30286746862623</v>
      </c>
      <c r="D43" s="567">
        <v>20.592867468626253</v>
      </c>
      <c r="E43" s="567">
        <v>173.70999999999998</v>
      </c>
      <c r="F43" s="562">
        <f>T6_FG_py_Utlsn!E42+T6_FG_py_Utlsn!J42+'T6A_FG_Upy_Utlsn '!E42+'T6A_FG_Upy_Utlsn '!J42</f>
        <v>3912.7530000000006</v>
      </c>
      <c r="G43" s="567">
        <f>(((T6_FG_py_Utlsn!E42+'T6A_FG_Upy_Utlsn '!E42)*0.03)+((T6_FG_py_Utlsn!J42+'T6A_FG_Upy_Utlsn '!J42)*0.02))</f>
        <v>111.11759000000002</v>
      </c>
      <c r="H43" s="562">
        <v>3697.5515850000006</v>
      </c>
      <c r="I43" s="567">
        <v>105.02</v>
      </c>
      <c r="J43" s="567">
        <f t="shared" si="1"/>
        <v>6.0975900000000252</v>
      </c>
      <c r="K43" s="567">
        <f t="shared" si="2"/>
        <v>83.185277468626211</v>
      </c>
      <c r="L43" s="567">
        <v>0</v>
      </c>
      <c r="M43" s="567">
        <v>0</v>
      </c>
      <c r="O43" s="411"/>
    </row>
    <row r="44" spans="1:15" ht="15.75" customHeight="1">
      <c r="A44" s="566">
        <v>32</v>
      </c>
      <c r="B44" s="537" t="s">
        <v>943</v>
      </c>
      <c r="C44" s="567">
        <f t="shared" si="0"/>
        <v>132.96400601329128</v>
      </c>
      <c r="D44" s="567">
        <v>24.704006013291277</v>
      </c>
      <c r="E44" s="567">
        <v>108.25999999999999</v>
      </c>
      <c r="F44" s="562">
        <f>T6_FG_py_Utlsn!E43+T6_FG_py_Utlsn!J43+'T6A_FG_Upy_Utlsn '!E43+'T6A_FG_Upy_Utlsn '!J43</f>
        <v>2769.6219999999998</v>
      </c>
      <c r="G44" s="567">
        <f>(((T6_FG_py_Utlsn!E43+'T6A_FG_Upy_Utlsn '!E43)*0.03)+((T6_FG_py_Utlsn!J43+'T6A_FG_Upy_Utlsn '!J43)*0.02))</f>
        <v>78.196519999999992</v>
      </c>
      <c r="H44" s="562">
        <v>2502.9074013999998</v>
      </c>
      <c r="I44" s="567">
        <v>70.666195123999998</v>
      </c>
      <c r="J44" s="567">
        <f t="shared" si="1"/>
        <v>7.5303248759999946</v>
      </c>
      <c r="K44" s="567">
        <f t="shared" si="2"/>
        <v>54.76748601329129</v>
      </c>
      <c r="L44" s="567">
        <v>0</v>
      </c>
      <c r="M44" s="567">
        <v>0</v>
      </c>
      <c r="O44" s="411"/>
    </row>
    <row r="45" spans="1:15" ht="15.75" customHeight="1">
      <c r="A45" s="566">
        <v>33</v>
      </c>
      <c r="B45" s="537" t="s">
        <v>944</v>
      </c>
      <c r="C45" s="567">
        <f t="shared" si="0"/>
        <v>165.41049222407887</v>
      </c>
      <c r="D45" s="567">
        <v>10.400492224078874</v>
      </c>
      <c r="E45" s="567">
        <v>155.01</v>
      </c>
      <c r="F45" s="562">
        <f>T6_FG_py_Utlsn!E44+T6_FG_py_Utlsn!J44+'T6A_FG_Upy_Utlsn '!E44+'T6A_FG_Upy_Utlsn '!J44</f>
        <v>4482.6839999999993</v>
      </c>
      <c r="G45" s="567">
        <f>(((T6_FG_py_Utlsn!E44+'T6A_FG_Upy_Utlsn '!E44)*0.03)+((T6_FG_py_Utlsn!J44+'T6A_FG_Upy_Utlsn '!J44)*0.02))</f>
        <v>126.67419999999998</v>
      </c>
      <c r="H45" s="562">
        <v>3945.2101884000003</v>
      </c>
      <c r="I45" s="567">
        <v>111.48596341999999</v>
      </c>
      <c r="J45" s="567">
        <f t="shared" si="1"/>
        <v>15.188236579999995</v>
      </c>
      <c r="K45" s="567">
        <f t="shared" si="2"/>
        <v>38.736292224078881</v>
      </c>
      <c r="L45" s="567">
        <v>0</v>
      </c>
      <c r="M45" s="567">
        <v>0</v>
      </c>
      <c r="O45" s="411"/>
    </row>
    <row r="46" spans="1:15">
      <c r="A46" s="566">
        <v>34</v>
      </c>
      <c r="B46" s="537" t="s">
        <v>945</v>
      </c>
      <c r="C46" s="567">
        <f t="shared" si="0"/>
        <v>136.19</v>
      </c>
      <c r="D46" s="567">
        <v>31.94</v>
      </c>
      <c r="E46" s="567">
        <v>104.25</v>
      </c>
      <c r="F46" s="562">
        <f>T6_FG_py_Utlsn!E45+T6_FG_py_Utlsn!J45+'T6A_FG_Upy_Utlsn '!E45+'T6A_FG_Upy_Utlsn '!J45</f>
        <v>2135</v>
      </c>
      <c r="G46" s="567">
        <f>(((T6_FG_py_Utlsn!E45+'T6A_FG_Upy_Utlsn '!E45)*0.03)+((T6_FG_py_Utlsn!J45+'T6A_FG_Upy_Utlsn '!J45)*0.02))</f>
        <v>60.875</v>
      </c>
      <c r="H46" s="562">
        <v>1774.1849999999999</v>
      </c>
      <c r="I46" s="567">
        <v>50.587125</v>
      </c>
      <c r="J46" s="567">
        <f t="shared" si="1"/>
        <v>10.287875</v>
      </c>
      <c r="K46" s="567">
        <f t="shared" si="2"/>
        <v>75.314999999999998</v>
      </c>
      <c r="L46" s="567">
        <v>0</v>
      </c>
      <c r="M46" s="567">
        <v>0</v>
      </c>
      <c r="O46" s="411"/>
    </row>
    <row r="47" spans="1:15">
      <c r="A47" s="568" t="s">
        <v>91</v>
      </c>
      <c r="B47" s="569"/>
      <c r="C47" s="570">
        <f t="shared" ref="C47:K47" si="3">SUM(C13:C46)</f>
        <v>3509.4415283808812</v>
      </c>
      <c r="D47" s="571">
        <f t="shared" si="3"/>
        <v>433.01152838088154</v>
      </c>
      <c r="E47" s="571">
        <f t="shared" si="3"/>
        <v>3076.4300000000003</v>
      </c>
      <c r="F47" s="571">
        <f t="shared" si="3"/>
        <v>83301.359999999986</v>
      </c>
      <c r="G47" s="572">
        <f t="shared" si="3"/>
        <v>2375.5335699999996</v>
      </c>
      <c r="H47" s="572">
        <f t="shared" si="3"/>
        <v>78610.029584399977</v>
      </c>
      <c r="I47" s="571">
        <f t="shared" si="3"/>
        <v>2241.7606391450004</v>
      </c>
      <c r="J47" s="570">
        <f t="shared" si="3"/>
        <v>133.77293085500006</v>
      </c>
      <c r="K47" s="571">
        <f t="shared" si="3"/>
        <v>1133.9079583808818</v>
      </c>
      <c r="L47" s="570">
        <v>0</v>
      </c>
      <c r="M47" s="570">
        <v>0</v>
      </c>
    </row>
    <row r="48" spans="1:15">
      <c r="H48" s="411"/>
    </row>
    <row r="49" spans="1:12">
      <c r="H49" s="412"/>
      <c r="I49" s="411"/>
      <c r="J49" s="140"/>
    </row>
    <row r="50" spans="1:12" ht="15.75" customHeight="1">
      <c r="A50" s="407"/>
      <c r="B50" s="407"/>
      <c r="C50" s="407"/>
      <c r="D50" s="407"/>
      <c r="E50" s="407"/>
      <c r="F50" s="407"/>
      <c r="G50" s="407"/>
      <c r="H50" s="407"/>
      <c r="I50" s="407"/>
      <c r="J50" s="407"/>
      <c r="K50" s="407"/>
      <c r="L50" s="407"/>
    </row>
    <row r="51" spans="1:12" ht="15.75" customHeight="1">
      <c r="A51" s="407"/>
      <c r="B51" s="13"/>
      <c r="C51" s="13"/>
      <c r="D51" s="13"/>
      <c r="E51" s="13"/>
      <c r="F51" s="13"/>
      <c r="G51" s="407"/>
      <c r="H51" s="407"/>
      <c r="I51" s="804" t="s">
        <v>12</v>
      </c>
      <c r="J51" s="804"/>
      <c r="K51" s="804"/>
      <c r="L51" s="804"/>
    </row>
    <row r="52" spans="1:12" ht="15.75" customHeight="1">
      <c r="A52" s="803" t="s">
        <v>906</v>
      </c>
      <c r="B52" s="803"/>
      <c r="C52" s="803"/>
      <c r="D52" s="803"/>
      <c r="E52" s="375"/>
      <c r="F52" s="375"/>
      <c r="G52" s="407"/>
      <c r="H52" s="407"/>
      <c r="I52" s="804" t="s">
        <v>13</v>
      </c>
      <c r="J52" s="804"/>
      <c r="K52" s="804"/>
      <c r="L52" s="804"/>
    </row>
    <row r="53" spans="1:12" ht="12.75" customHeight="1">
      <c r="A53" s="804" t="s">
        <v>907</v>
      </c>
      <c r="B53" s="804"/>
      <c r="C53" s="804"/>
      <c r="D53" s="804"/>
      <c r="E53" s="375"/>
      <c r="F53" s="375"/>
      <c r="G53" s="407"/>
      <c r="H53" s="407"/>
      <c r="I53" s="804" t="s">
        <v>18</v>
      </c>
      <c r="J53" s="804"/>
      <c r="K53" s="804"/>
      <c r="L53" s="804"/>
    </row>
    <row r="54" spans="1:12">
      <c r="A54" s="804" t="s">
        <v>908</v>
      </c>
      <c r="B54" s="804"/>
      <c r="C54" s="804"/>
      <c r="D54" s="804"/>
      <c r="E54"/>
      <c r="F54"/>
      <c r="G54" s="407"/>
      <c r="H54" s="407"/>
      <c r="I54" s="803" t="s">
        <v>84</v>
      </c>
      <c r="J54" s="803"/>
      <c r="K54" s="803"/>
      <c r="L54" s="803"/>
    </row>
    <row r="55" spans="1:12">
      <c r="A55" s="406"/>
      <c r="B55" s="406"/>
      <c r="C55" s="406"/>
      <c r="D55" s="406"/>
      <c r="E55" s="406"/>
      <c r="F55" s="406"/>
      <c r="G55" s="407"/>
      <c r="H55" s="407"/>
      <c r="I55" s="407"/>
      <c r="J55" s="407"/>
      <c r="K55" s="407"/>
      <c r="L55" s="407"/>
    </row>
    <row r="56" spans="1:12" ht="15.75">
      <c r="A56" s="13" t="s">
        <v>11</v>
      </c>
      <c r="B56" s="407"/>
      <c r="C56" s="407"/>
      <c r="D56" s="407"/>
      <c r="E56" s="407"/>
      <c r="F56" s="407"/>
      <c r="G56" s="407"/>
      <c r="H56" s="407"/>
      <c r="I56" s="407"/>
      <c r="J56" s="407"/>
      <c r="K56" s="407"/>
      <c r="L56" s="407"/>
    </row>
    <row r="60" spans="1:12">
      <c r="E60" s="140" t="s">
        <v>1014</v>
      </c>
      <c r="F60" s="140">
        <v>508.01</v>
      </c>
      <c r="G60" s="140">
        <v>2375.4940000000001</v>
      </c>
    </row>
    <row r="61" spans="1:12">
      <c r="E61" s="140" t="s">
        <v>1015</v>
      </c>
      <c r="F61" s="140">
        <v>996.59</v>
      </c>
      <c r="G61" s="411"/>
    </row>
    <row r="62" spans="1:12">
      <c r="E62" s="140" t="s">
        <v>1016</v>
      </c>
      <c r="F62" s="140">
        <v>870.89400000000001</v>
      </c>
    </row>
    <row r="63" spans="1:12">
      <c r="F63" s="140">
        <f>F62-737.12</f>
        <v>133.774</v>
      </c>
      <c r="G63" s="140">
        <f>G60-F63</f>
        <v>2241.7200000000003</v>
      </c>
    </row>
  </sheetData>
  <mergeCells count="23">
    <mergeCell ref="I54:L54"/>
    <mergeCell ref="D9:D11"/>
    <mergeCell ref="E9:E11"/>
    <mergeCell ref="A9:A11"/>
    <mergeCell ref="M9:M11"/>
    <mergeCell ref="L9:L11"/>
    <mergeCell ref="B9:B11"/>
    <mergeCell ref="A54:D54"/>
    <mergeCell ref="I51:L51"/>
    <mergeCell ref="A52:D52"/>
    <mergeCell ref="I52:L52"/>
    <mergeCell ref="A53:D53"/>
    <mergeCell ref="I53:L53"/>
    <mergeCell ref="K1:M1"/>
    <mergeCell ref="B3:K3"/>
    <mergeCell ref="B4:K4"/>
    <mergeCell ref="C9:C11"/>
    <mergeCell ref="J9:J11"/>
    <mergeCell ref="L7:M7"/>
    <mergeCell ref="G8:M8"/>
    <mergeCell ref="F9:G10"/>
    <mergeCell ref="H9:I10"/>
    <mergeCell ref="K9:K11"/>
  </mergeCells>
  <printOptions horizontalCentered="1"/>
  <pageMargins left="0.70866141732283472" right="0.70866141732283472" top="0.23622047244094491" bottom="0" header="0.31496062992125984" footer="0.31496062992125984"/>
  <pageSetup paperSize="9" scale="75" orientation="landscape" r:id="rId1"/>
</worksheet>
</file>

<file path=xl/worksheets/sheet23.xml><?xml version="1.0" encoding="utf-8"?>
<worksheet xmlns="http://schemas.openxmlformats.org/spreadsheetml/2006/main" xmlns:r="http://schemas.openxmlformats.org/officeDocument/2006/relationships">
  <sheetPr codeName="Sheet23">
    <pageSetUpPr fitToPage="1"/>
  </sheetPr>
  <dimension ref="A1:S56"/>
  <sheetViews>
    <sheetView view="pageBreakPreview" topLeftCell="A31" zoomScale="90" zoomScaleSheetLayoutView="90" workbookViewId="0">
      <selection activeCell="I52" sqref="I52:L52"/>
    </sheetView>
  </sheetViews>
  <sheetFormatPr defaultRowHeight="12.75"/>
  <cols>
    <col min="1" max="1" width="5.5703125" style="15" customWidth="1"/>
    <col min="2" max="2" width="21.5703125" style="15" bestFit="1" customWidth="1"/>
    <col min="3" max="3" width="10.5703125" style="15" customWidth="1"/>
    <col min="4" max="4" width="11.2851562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7.28515625" style="15" customWidth="1"/>
    <col min="13" max="13" width="9.140625" style="15" hidden="1" customWidth="1"/>
    <col min="14" max="16384" width="9.140625" style="15"/>
  </cols>
  <sheetData>
    <row r="1" spans="1:19" customFormat="1" ht="15">
      <c r="D1" s="33"/>
      <c r="E1" s="33"/>
      <c r="F1" s="33"/>
      <c r="G1" s="33"/>
      <c r="H1" s="33"/>
      <c r="I1" s="33"/>
      <c r="J1" s="33"/>
      <c r="K1" s="33"/>
      <c r="L1" s="930" t="s">
        <v>435</v>
      </c>
      <c r="M1" s="930"/>
      <c r="N1" s="930"/>
      <c r="O1" s="40"/>
      <c r="P1" s="40"/>
    </row>
    <row r="2" spans="1:19" customFormat="1" ht="15">
      <c r="A2" s="920" t="s">
        <v>0</v>
      </c>
      <c r="B2" s="920"/>
      <c r="C2" s="920"/>
      <c r="D2" s="920"/>
      <c r="E2" s="920"/>
      <c r="F2" s="920"/>
      <c r="G2" s="920"/>
      <c r="H2" s="920"/>
      <c r="I2" s="920"/>
      <c r="J2" s="920"/>
      <c r="K2" s="920"/>
      <c r="L2" s="920"/>
      <c r="M2" s="42"/>
      <c r="N2" s="42"/>
      <c r="O2" s="42"/>
      <c r="P2" s="42"/>
    </row>
    <row r="3" spans="1:19" customFormat="1" ht="20.25">
      <c r="A3" s="931" t="s">
        <v>745</v>
      </c>
      <c r="B3" s="931"/>
      <c r="C3" s="931"/>
      <c r="D3" s="931"/>
      <c r="E3" s="931"/>
      <c r="F3" s="931"/>
      <c r="G3" s="931"/>
      <c r="H3" s="931"/>
      <c r="I3" s="931"/>
      <c r="J3" s="931"/>
      <c r="K3" s="931"/>
      <c r="L3" s="931"/>
      <c r="M3" s="41"/>
      <c r="N3" s="41"/>
      <c r="O3" s="41"/>
      <c r="P3" s="41"/>
    </row>
    <row r="4" spans="1:19" customFormat="1" ht="10.5" customHeight="1"/>
    <row r="5" spans="1:19" ht="19.5" customHeight="1">
      <c r="A5" s="925" t="s">
        <v>813</v>
      </c>
      <c r="B5" s="925"/>
      <c r="C5" s="925"/>
      <c r="D5" s="925"/>
      <c r="E5" s="925"/>
      <c r="F5" s="925"/>
      <c r="G5" s="925"/>
      <c r="H5" s="925"/>
      <c r="I5" s="925"/>
      <c r="J5" s="925"/>
      <c r="K5" s="925"/>
      <c r="L5" s="925"/>
    </row>
    <row r="6" spans="1:19">
      <c r="A6" s="21"/>
      <c r="B6" s="21"/>
      <c r="C6" s="21"/>
      <c r="D6" s="21"/>
      <c r="E6" s="21"/>
      <c r="F6" s="21"/>
      <c r="G6" s="21"/>
      <c r="H6" s="21"/>
      <c r="I6" s="21"/>
      <c r="J6" s="21"/>
      <c r="K6" s="21"/>
      <c r="L6" s="21"/>
    </row>
    <row r="7" spans="1:19">
      <c r="A7" s="850" t="s">
        <v>162</v>
      </c>
      <c r="B7" s="850"/>
      <c r="F7" s="929" t="s">
        <v>19</v>
      </c>
      <c r="G7" s="929"/>
      <c r="H7" s="929"/>
      <c r="I7" s="929"/>
      <c r="J7" s="929"/>
      <c r="K7" s="929"/>
      <c r="L7" s="929"/>
    </row>
    <row r="8" spans="1:19">
      <c r="A8" s="14"/>
      <c r="F8" s="16"/>
      <c r="G8" s="101"/>
      <c r="H8" s="101"/>
      <c r="I8" s="914" t="s">
        <v>831</v>
      </c>
      <c r="J8" s="914"/>
      <c r="K8" s="914"/>
      <c r="L8" s="914"/>
    </row>
    <row r="9" spans="1:19" s="14" customFormat="1">
      <c r="A9" s="834" t="s">
        <v>2</v>
      </c>
      <c r="B9" s="834" t="s">
        <v>3</v>
      </c>
      <c r="C9" s="821" t="s">
        <v>25</v>
      </c>
      <c r="D9" s="822"/>
      <c r="E9" s="822"/>
      <c r="F9" s="822"/>
      <c r="G9" s="822"/>
      <c r="H9" s="821" t="s">
        <v>26</v>
      </c>
      <c r="I9" s="822"/>
      <c r="J9" s="822"/>
      <c r="K9" s="822"/>
      <c r="L9" s="822"/>
      <c r="R9" s="27"/>
      <c r="S9" s="28"/>
    </row>
    <row r="10" spans="1:19" s="14" customFormat="1" ht="63.75">
      <c r="A10" s="834"/>
      <c r="B10" s="834"/>
      <c r="C10" s="340" t="s">
        <v>850</v>
      </c>
      <c r="D10" s="340" t="s">
        <v>826</v>
      </c>
      <c r="E10" s="5" t="s">
        <v>70</v>
      </c>
      <c r="F10" s="5" t="s">
        <v>71</v>
      </c>
      <c r="G10" s="5" t="s">
        <v>368</v>
      </c>
      <c r="H10" s="340" t="s">
        <v>850</v>
      </c>
      <c r="I10" s="340" t="s">
        <v>826</v>
      </c>
      <c r="J10" s="5" t="s">
        <v>70</v>
      </c>
      <c r="K10" s="5" t="s">
        <v>71</v>
      </c>
      <c r="L10" s="5" t="s">
        <v>369</v>
      </c>
    </row>
    <row r="11" spans="1:19" s="14" customFormat="1">
      <c r="A11" s="5">
        <v>1</v>
      </c>
      <c r="B11" s="5">
        <v>2</v>
      </c>
      <c r="C11" s="5">
        <v>3</v>
      </c>
      <c r="D11" s="5">
        <v>4</v>
      </c>
      <c r="E11" s="5">
        <v>5</v>
      </c>
      <c r="F11" s="5">
        <v>6</v>
      </c>
      <c r="G11" s="5">
        <v>7</v>
      </c>
      <c r="H11" s="5">
        <v>8</v>
      </c>
      <c r="I11" s="5">
        <v>9</v>
      </c>
      <c r="J11" s="5">
        <v>10</v>
      </c>
      <c r="K11" s="5">
        <v>11</v>
      </c>
      <c r="L11" s="5">
        <v>12</v>
      </c>
    </row>
    <row r="12" spans="1:19" ht="14.25">
      <c r="A12" s="17">
        <v>1</v>
      </c>
      <c r="B12" s="573" t="s">
        <v>912</v>
      </c>
      <c r="C12" s="943" t="s">
        <v>1013</v>
      </c>
      <c r="D12" s="944"/>
      <c r="E12" s="944"/>
      <c r="F12" s="944"/>
      <c r="G12" s="944"/>
      <c r="H12" s="944"/>
      <c r="I12" s="944"/>
      <c r="J12" s="944"/>
      <c r="K12" s="944"/>
      <c r="L12" s="945"/>
    </row>
    <row r="13" spans="1:19" ht="14.25">
      <c r="A13" s="17">
        <v>2</v>
      </c>
      <c r="B13" s="573" t="s">
        <v>913</v>
      </c>
      <c r="C13" s="946"/>
      <c r="D13" s="947"/>
      <c r="E13" s="947"/>
      <c r="F13" s="947"/>
      <c r="G13" s="947"/>
      <c r="H13" s="947"/>
      <c r="I13" s="947"/>
      <c r="J13" s="947"/>
      <c r="K13" s="947"/>
      <c r="L13" s="948"/>
    </row>
    <row r="14" spans="1:19" ht="14.25">
      <c r="A14" s="17">
        <v>3</v>
      </c>
      <c r="B14" s="573" t="s">
        <v>914</v>
      </c>
      <c r="C14" s="946"/>
      <c r="D14" s="947"/>
      <c r="E14" s="947"/>
      <c r="F14" s="947"/>
      <c r="G14" s="947"/>
      <c r="H14" s="947"/>
      <c r="I14" s="947"/>
      <c r="J14" s="947"/>
      <c r="K14" s="947"/>
      <c r="L14" s="948"/>
    </row>
    <row r="15" spans="1:19" ht="14.25">
      <c r="A15" s="525">
        <v>4</v>
      </c>
      <c r="B15" s="573" t="s">
        <v>915</v>
      </c>
      <c r="C15" s="946"/>
      <c r="D15" s="947"/>
      <c r="E15" s="947"/>
      <c r="F15" s="947"/>
      <c r="G15" s="947"/>
      <c r="H15" s="947"/>
      <c r="I15" s="947"/>
      <c r="J15" s="947"/>
      <c r="K15" s="947"/>
      <c r="L15" s="948"/>
    </row>
    <row r="16" spans="1:19" ht="14.25">
      <c r="A16" s="525">
        <v>5</v>
      </c>
      <c r="B16" s="573" t="s">
        <v>916</v>
      </c>
      <c r="C16" s="946"/>
      <c r="D16" s="947"/>
      <c r="E16" s="947"/>
      <c r="F16" s="947"/>
      <c r="G16" s="947"/>
      <c r="H16" s="947"/>
      <c r="I16" s="947"/>
      <c r="J16" s="947"/>
      <c r="K16" s="947"/>
      <c r="L16" s="948"/>
    </row>
    <row r="17" spans="1:12" ht="14.25">
      <c r="A17" s="525">
        <v>6</v>
      </c>
      <c r="B17" s="573" t="s">
        <v>917</v>
      </c>
      <c r="C17" s="946"/>
      <c r="D17" s="947"/>
      <c r="E17" s="947"/>
      <c r="F17" s="947"/>
      <c r="G17" s="947"/>
      <c r="H17" s="947"/>
      <c r="I17" s="947"/>
      <c r="J17" s="947"/>
      <c r="K17" s="947"/>
      <c r="L17" s="948"/>
    </row>
    <row r="18" spans="1:12" s="529" customFormat="1" ht="14.25">
      <c r="A18" s="525">
        <v>7</v>
      </c>
      <c r="B18" s="573" t="s">
        <v>918</v>
      </c>
      <c r="C18" s="946"/>
      <c r="D18" s="947"/>
      <c r="E18" s="947"/>
      <c r="F18" s="947"/>
      <c r="G18" s="947"/>
      <c r="H18" s="947"/>
      <c r="I18" s="947"/>
      <c r="J18" s="947"/>
      <c r="K18" s="947"/>
      <c r="L18" s="948"/>
    </row>
    <row r="19" spans="1:12" s="529" customFormat="1" ht="14.25">
      <c r="A19" s="525">
        <v>8</v>
      </c>
      <c r="B19" s="573" t="s">
        <v>919</v>
      </c>
      <c r="C19" s="946"/>
      <c r="D19" s="947"/>
      <c r="E19" s="947"/>
      <c r="F19" s="947"/>
      <c r="G19" s="947"/>
      <c r="H19" s="947"/>
      <c r="I19" s="947"/>
      <c r="J19" s="947"/>
      <c r="K19" s="947"/>
      <c r="L19" s="948"/>
    </row>
    <row r="20" spans="1:12" s="529" customFormat="1" ht="14.25">
      <c r="A20" s="525">
        <v>9</v>
      </c>
      <c r="B20" s="573" t="s">
        <v>920</v>
      </c>
      <c r="C20" s="946"/>
      <c r="D20" s="947"/>
      <c r="E20" s="947"/>
      <c r="F20" s="947"/>
      <c r="G20" s="947"/>
      <c r="H20" s="947"/>
      <c r="I20" s="947"/>
      <c r="J20" s="947"/>
      <c r="K20" s="947"/>
      <c r="L20" s="948"/>
    </row>
    <row r="21" spans="1:12" s="529" customFormat="1" ht="14.25">
      <c r="A21" s="525">
        <v>10</v>
      </c>
      <c r="B21" s="573" t="s">
        <v>921</v>
      </c>
      <c r="C21" s="946"/>
      <c r="D21" s="947"/>
      <c r="E21" s="947"/>
      <c r="F21" s="947"/>
      <c r="G21" s="947"/>
      <c r="H21" s="947"/>
      <c r="I21" s="947"/>
      <c r="J21" s="947"/>
      <c r="K21" s="947"/>
      <c r="L21" s="948"/>
    </row>
    <row r="22" spans="1:12" s="529" customFormat="1" ht="14.25">
      <c r="A22" s="525">
        <v>11</v>
      </c>
      <c r="B22" s="573" t="s">
        <v>922</v>
      </c>
      <c r="C22" s="946"/>
      <c r="D22" s="947"/>
      <c r="E22" s="947"/>
      <c r="F22" s="947"/>
      <c r="G22" s="947"/>
      <c r="H22" s="947"/>
      <c r="I22" s="947"/>
      <c r="J22" s="947"/>
      <c r="K22" s="947"/>
      <c r="L22" s="948"/>
    </row>
    <row r="23" spans="1:12" s="529" customFormat="1" ht="14.25">
      <c r="A23" s="525">
        <v>12</v>
      </c>
      <c r="B23" s="573" t="s">
        <v>923</v>
      </c>
      <c r="C23" s="946"/>
      <c r="D23" s="947"/>
      <c r="E23" s="947"/>
      <c r="F23" s="947"/>
      <c r="G23" s="947"/>
      <c r="H23" s="947"/>
      <c r="I23" s="947"/>
      <c r="J23" s="947"/>
      <c r="K23" s="947"/>
      <c r="L23" s="948"/>
    </row>
    <row r="24" spans="1:12" s="529" customFormat="1" ht="14.25">
      <c r="A24" s="525">
        <v>13</v>
      </c>
      <c r="B24" s="573" t="s">
        <v>924</v>
      </c>
      <c r="C24" s="946"/>
      <c r="D24" s="947"/>
      <c r="E24" s="947"/>
      <c r="F24" s="947"/>
      <c r="G24" s="947"/>
      <c r="H24" s="947"/>
      <c r="I24" s="947"/>
      <c r="J24" s="947"/>
      <c r="K24" s="947"/>
      <c r="L24" s="948"/>
    </row>
    <row r="25" spans="1:12" s="529" customFormat="1" ht="14.25">
      <c r="A25" s="525">
        <v>14</v>
      </c>
      <c r="B25" s="573" t="s">
        <v>925</v>
      </c>
      <c r="C25" s="946"/>
      <c r="D25" s="947"/>
      <c r="E25" s="947"/>
      <c r="F25" s="947"/>
      <c r="G25" s="947"/>
      <c r="H25" s="947"/>
      <c r="I25" s="947"/>
      <c r="J25" s="947"/>
      <c r="K25" s="947"/>
      <c r="L25" s="948"/>
    </row>
    <row r="26" spans="1:12" s="529" customFormat="1" ht="14.25">
      <c r="A26" s="525">
        <v>15</v>
      </c>
      <c r="B26" s="573" t="s">
        <v>926</v>
      </c>
      <c r="C26" s="946"/>
      <c r="D26" s="947"/>
      <c r="E26" s="947"/>
      <c r="F26" s="947"/>
      <c r="G26" s="947"/>
      <c r="H26" s="947"/>
      <c r="I26" s="947"/>
      <c r="J26" s="947"/>
      <c r="K26" s="947"/>
      <c r="L26" s="948"/>
    </row>
    <row r="27" spans="1:12" s="529" customFormat="1" ht="14.25">
      <c r="A27" s="525">
        <v>16</v>
      </c>
      <c r="B27" s="573" t="s">
        <v>927</v>
      </c>
      <c r="C27" s="946"/>
      <c r="D27" s="947"/>
      <c r="E27" s="947"/>
      <c r="F27" s="947"/>
      <c r="G27" s="947"/>
      <c r="H27" s="947"/>
      <c r="I27" s="947"/>
      <c r="J27" s="947"/>
      <c r="K27" s="947"/>
      <c r="L27" s="948"/>
    </row>
    <row r="28" spans="1:12" s="529" customFormat="1" ht="14.25">
      <c r="A28" s="525">
        <v>17</v>
      </c>
      <c r="B28" s="573" t="s">
        <v>928</v>
      </c>
      <c r="C28" s="946"/>
      <c r="D28" s="947"/>
      <c r="E28" s="947"/>
      <c r="F28" s="947"/>
      <c r="G28" s="947"/>
      <c r="H28" s="947"/>
      <c r="I28" s="947"/>
      <c r="J28" s="947"/>
      <c r="K28" s="947"/>
      <c r="L28" s="948"/>
    </row>
    <row r="29" spans="1:12" s="529" customFormat="1" ht="14.25">
      <c r="A29" s="525">
        <v>18</v>
      </c>
      <c r="B29" s="573" t="s">
        <v>929</v>
      </c>
      <c r="C29" s="946"/>
      <c r="D29" s="947"/>
      <c r="E29" s="947"/>
      <c r="F29" s="947"/>
      <c r="G29" s="947"/>
      <c r="H29" s="947"/>
      <c r="I29" s="947"/>
      <c r="J29" s="947"/>
      <c r="K29" s="947"/>
      <c r="L29" s="948"/>
    </row>
    <row r="30" spans="1:12" s="529" customFormat="1" ht="14.25">
      <c r="A30" s="525">
        <v>19</v>
      </c>
      <c r="B30" s="573" t="s">
        <v>930</v>
      </c>
      <c r="C30" s="946"/>
      <c r="D30" s="947"/>
      <c r="E30" s="947"/>
      <c r="F30" s="947"/>
      <c r="G30" s="947"/>
      <c r="H30" s="947"/>
      <c r="I30" s="947"/>
      <c r="J30" s="947"/>
      <c r="K30" s="947"/>
      <c r="L30" s="948"/>
    </row>
    <row r="31" spans="1:12" s="529" customFormat="1" ht="14.25">
      <c r="A31" s="525">
        <v>20</v>
      </c>
      <c r="B31" s="573" t="s">
        <v>931</v>
      </c>
      <c r="C31" s="946"/>
      <c r="D31" s="947"/>
      <c r="E31" s="947"/>
      <c r="F31" s="947"/>
      <c r="G31" s="947"/>
      <c r="H31" s="947"/>
      <c r="I31" s="947"/>
      <c r="J31" s="947"/>
      <c r="K31" s="947"/>
      <c r="L31" s="948"/>
    </row>
    <row r="32" spans="1:12" s="529" customFormat="1" ht="14.25">
      <c r="A32" s="525">
        <v>21</v>
      </c>
      <c r="B32" s="573" t="s">
        <v>932</v>
      </c>
      <c r="C32" s="946"/>
      <c r="D32" s="947"/>
      <c r="E32" s="947"/>
      <c r="F32" s="947"/>
      <c r="G32" s="947"/>
      <c r="H32" s="947"/>
      <c r="I32" s="947"/>
      <c r="J32" s="947"/>
      <c r="K32" s="947"/>
      <c r="L32" s="948"/>
    </row>
    <row r="33" spans="1:12" s="529" customFormat="1" ht="14.25">
      <c r="A33" s="525">
        <v>22</v>
      </c>
      <c r="B33" s="573" t="s">
        <v>933</v>
      </c>
      <c r="C33" s="946"/>
      <c r="D33" s="947"/>
      <c r="E33" s="947"/>
      <c r="F33" s="947"/>
      <c r="G33" s="947"/>
      <c r="H33" s="947"/>
      <c r="I33" s="947"/>
      <c r="J33" s="947"/>
      <c r="K33" s="947"/>
      <c r="L33" s="948"/>
    </row>
    <row r="34" spans="1:12" s="529" customFormat="1" ht="14.25">
      <c r="A34" s="525">
        <v>23</v>
      </c>
      <c r="B34" s="573" t="s">
        <v>934</v>
      </c>
      <c r="C34" s="946"/>
      <c r="D34" s="947"/>
      <c r="E34" s="947"/>
      <c r="F34" s="947"/>
      <c r="G34" s="947"/>
      <c r="H34" s="947"/>
      <c r="I34" s="947"/>
      <c r="J34" s="947"/>
      <c r="K34" s="947"/>
      <c r="L34" s="948"/>
    </row>
    <row r="35" spans="1:12" s="529" customFormat="1" ht="14.25">
      <c r="A35" s="525">
        <v>24</v>
      </c>
      <c r="B35" s="573" t="s">
        <v>935</v>
      </c>
      <c r="C35" s="946"/>
      <c r="D35" s="947"/>
      <c r="E35" s="947"/>
      <c r="F35" s="947"/>
      <c r="G35" s="947"/>
      <c r="H35" s="947"/>
      <c r="I35" s="947"/>
      <c r="J35" s="947"/>
      <c r="K35" s="947"/>
      <c r="L35" s="948"/>
    </row>
    <row r="36" spans="1:12" s="529" customFormat="1" ht="14.25">
      <c r="A36" s="525">
        <v>25</v>
      </c>
      <c r="B36" s="573" t="s">
        <v>936</v>
      </c>
      <c r="C36" s="946"/>
      <c r="D36" s="947"/>
      <c r="E36" s="947"/>
      <c r="F36" s="947"/>
      <c r="G36" s="947"/>
      <c r="H36" s="947"/>
      <c r="I36" s="947"/>
      <c r="J36" s="947"/>
      <c r="K36" s="947"/>
      <c r="L36" s="948"/>
    </row>
    <row r="37" spans="1:12" s="529" customFormat="1" ht="14.25">
      <c r="A37" s="525">
        <v>26</v>
      </c>
      <c r="B37" s="573" t="s">
        <v>937</v>
      </c>
      <c r="C37" s="946"/>
      <c r="D37" s="947"/>
      <c r="E37" s="947"/>
      <c r="F37" s="947"/>
      <c r="G37" s="947"/>
      <c r="H37" s="947"/>
      <c r="I37" s="947"/>
      <c r="J37" s="947"/>
      <c r="K37" s="947"/>
      <c r="L37" s="948"/>
    </row>
    <row r="38" spans="1:12" s="529" customFormat="1" ht="14.25">
      <c r="A38" s="525">
        <v>27</v>
      </c>
      <c r="B38" s="573" t="s">
        <v>938</v>
      </c>
      <c r="C38" s="946"/>
      <c r="D38" s="947"/>
      <c r="E38" s="947"/>
      <c r="F38" s="947"/>
      <c r="G38" s="947"/>
      <c r="H38" s="947"/>
      <c r="I38" s="947"/>
      <c r="J38" s="947"/>
      <c r="K38" s="947"/>
      <c r="L38" s="948"/>
    </row>
    <row r="39" spans="1:12" s="529" customFormat="1" ht="14.25">
      <c r="A39" s="525">
        <v>28</v>
      </c>
      <c r="B39" s="573" t="s">
        <v>939</v>
      </c>
      <c r="C39" s="946"/>
      <c r="D39" s="947"/>
      <c r="E39" s="947"/>
      <c r="F39" s="947"/>
      <c r="G39" s="947"/>
      <c r="H39" s="947"/>
      <c r="I39" s="947"/>
      <c r="J39" s="947"/>
      <c r="K39" s="947"/>
      <c r="L39" s="948"/>
    </row>
    <row r="40" spans="1:12" s="529" customFormat="1" ht="14.25">
      <c r="A40" s="525">
        <v>29</v>
      </c>
      <c r="B40" s="573" t="s">
        <v>940</v>
      </c>
      <c r="C40" s="946"/>
      <c r="D40" s="947"/>
      <c r="E40" s="947"/>
      <c r="F40" s="947"/>
      <c r="G40" s="947"/>
      <c r="H40" s="947"/>
      <c r="I40" s="947"/>
      <c r="J40" s="947"/>
      <c r="K40" s="947"/>
      <c r="L40" s="948"/>
    </row>
    <row r="41" spans="1:12" s="529" customFormat="1" ht="14.25">
      <c r="A41" s="525">
        <v>30</v>
      </c>
      <c r="B41" s="573" t="s">
        <v>941</v>
      </c>
      <c r="C41" s="946"/>
      <c r="D41" s="947"/>
      <c r="E41" s="947"/>
      <c r="F41" s="947"/>
      <c r="G41" s="947"/>
      <c r="H41" s="947"/>
      <c r="I41" s="947"/>
      <c r="J41" s="947"/>
      <c r="K41" s="947"/>
      <c r="L41" s="948"/>
    </row>
    <row r="42" spans="1:12" s="529" customFormat="1" ht="14.25">
      <c r="A42" s="525">
        <v>31</v>
      </c>
      <c r="B42" s="573" t="s">
        <v>942</v>
      </c>
      <c r="C42" s="946"/>
      <c r="D42" s="947"/>
      <c r="E42" s="947"/>
      <c r="F42" s="947"/>
      <c r="G42" s="947"/>
      <c r="H42" s="947"/>
      <c r="I42" s="947"/>
      <c r="J42" s="947"/>
      <c r="K42" s="947"/>
      <c r="L42" s="948"/>
    </row>
    <row r="43" spans="1:12" s="529" customFormat="1" ht="14.25">
      <c r="A43" s="525">
        <v>32</v>
      </c>
      <c r="B43" s="573" t="s">
        <v>943</v>
      </c>
      <c r="C43" s="946"/>
      <c r="D43" s="947"/>
      <c r="E43" s="947"/>
      <c r="F43" s="947"/>
      <c r="G43" s="947"/>
      <c r="H43" s="947"/>
      <c r="I43" s="947"/>
      <c r="J43" s="947"/>
      <c r="K43" s="947"/>
      <c r="L43" s="948"/>
    </row>
    <row r="44" spans="1:12" s="529" customFormat="1" ht="14.25">
      <c r="A44" s="525">
        <v>33</v>
      </c>
      <c r="B44" s="573" t="s">
        <v>944</v>
      </c>
      <c r="C44" s="946"/>
      <c r="D44" s="947"/>
      <c r="E44" s="947"/>
      <c r="F44" s="947"/>
      <c r="G44" s="947"/>
      <c r="H44" s="947"/>
      <c r="I44" s="947"/>
      <c r="J44" s="947"/>
      <c r="K44" s="947"/>
      <c r="L44" s="948"/>
    </row>
    <row r="45" spans="1:12" s="529" customFormat="1" ht="14.25">
      <c r="A45" s="525">
        <v>34</v>
      </c>
      <c r="B45" s="573" t="s">
        <v>945</v>
      </c>
      <c r="C45" s="949"/>
      <c r="D45" s="950"/>
      <c r="E45" s="950"/>
      <c r="F45" s="950"/>
      <c r="G45" s="950"/>
      <c r="H45" s="950"/>
      <c r="I45" s="950"/>
      <c r="J45" s="950"/>
      <c r="K45" s="950"/>
      <c r="L45" s="951"/>
    </row>
    <row r="46" spans="1:12">
      <c r="A46" s="3" t="s">
        <v>17</v>
      </c>
      <c r="B46" s="18"/>
      <c r="C46" s="18"/>
      <c r="D46" s="18"/>
      <c r="E46" s="18"/>
      <c r="F46" s="18"/>
      <c r="G46" s="18"/>
      <c r="H46" s="26"/>
      <c r="I46" s="26"/>
      <c r="J46" s="26"/>
      <c r="K46" s="26"/>
      <c r="L46" s="18"/>
    </row>
    <row r="47" spans="1:12">
      <c r="A47" s="20" t="s">
        <v>367</v>
      </c>
      <c r="B47" s="20"/>
      <c r="C47" s="20"/>
      <c r="D47" s="20"/>
      <c r="E47" s="20"/>
      <c r="F47" s="20"/>
      <c r="G47" s="20"/>
      <c r="H47" s="20"/>
      <c r="I47" s="20"/>
      <c r="J47" s="20"/>
      <c r="K47" s="20"/>
      <c r="L47" s="20"/>
    </row>
    <row r="48" spans="1:12">
      <c r="A48" s="19" t="s">
        <v>366</v>
      </c>
      <c r="B48" s="20"/>
      <c r="C48" s="20"/>
      <c r="D48" s="20"/>
      <c r="E48" s="20"/>
      <c r="F48" s="20"/>
      <c r="G48" s="20"/>
      <c r="H48" s="20"/>
      <c r="I48" s="20"/>
      <c r="J48" s="20"/>
      <c r="K48" s="20"/>
      <c r="L48" s="20"/>
    </row>
    <row r="49" spans="1:13" ht="15.75" customHeight="1">
      <c r="A49" s="14"/>
      <c r="B49" s="14"/>
      <c r="C49" s="14"/>
      <c r="D49" s="14"/>
      <c r="E49" s="14"/>
      <c r="F49" s="14"/>
      <c r="G49" s="14"/>
      <c r="H49" s="14"/>
      <c r="I49" s="14"/>
      <c r="J49" s="14"/>
      <c r="K49" s="14"/>
      <c r="L49" s="14"/>
    </row>
    <row r="50" spans="1:13" ht="15.75" customHeight="1">
      <c r="A50" s="14"/>
      <c r="B50" s="14"/>
      <c r="C50" s="14"/>
      <c r="D50" s="14"/>
      <c r="E50" s="14"/>
      <c r="F50" s="14"/>
      <c r="G50" s="14"/>
      <c r="H50" s="14"/>
      <c r="I50" s="804" t="s">
        <v>12</v>
      </c>
      <c r="J50" s="804"/>
      <c r="K50" s="804"/>
      <c r="L50" s="804"/>
    </row>
    <row r="51" spans="1:13" ht="14.25" customHeight="1">
      <c r="B51" s="803" t="s">
        <v>906</v>
      </c>
      <c r="C51" s="803"/>
      <c r="D51" s="803"/>
      <c r="E51" s="803"/>
      <c r="F51" s="367"/>
      <c r="G51" s="367"/>
      <c r="H51" s="367"/>
      <c r="I51" s="804" t="s">
        <v>13</v>
      </c>
      <c r="J51" s="804"/>
      <c r="K51" s="804"/>
      <c r="L51" s="804"/>
      <c r="M51" s="791"/>
    </row>
    <row r="52" spans="1:13" ht="12.75" customHeight="1">
      <c r="B52" s="804" t="s">
        <v>907</v>
      </c>
      <c r="C52" s="804"/>
      <c r="D52" s="804"/>
      <c r="E52" s="804"/>
      <c r="F52" s="367"/>
      <c r="G52" s="367"/>
      <c r="H52" s="367"/>
      <c r="I52" s="804" t="s">
        <v>18</v>
      </c>
      <c r="J52" s="804"/>
      <c r="K52" s="804"/>
      <c r="L52" s="804"/>
      <c r="M52" s="791"/>
    </row>
    <row r="53" spans="1:13" ht="12.75" customHeight="1">
      <c r="B53" s="804" t="s">
        <v>908</v>
      </c>
      <c r="C53" s="804"/>
      <c r="D53" s="804"/>
      <c r="E53" s="804"/>
      <c r="F53" s="367"/>
      <c r="G53" s="367"/>
      <c r="H53" s="367"/>
      <c r="I53" s="803" t="s">
        <v>84</v>
      </c>
      <c r="J53" s="803"/>
      <c r="K53" s="803"/>
      <c r="L53" s="803"/>
      <c r="M53" s="791"/>
    </row>
    <row r="54" spans="1:13">
      <c r="A54" s="14" t="s">
        <v>21</v>
      </c>
      <c r="B54" s="14"/>
      <c r="C54" s="14"/>
      <c r="D54" s="14"/>
      <c r="E54" s="14"/>
      <c r="F54" s="14"/>
      <c r="G54" s="791"/>
      <c r="H54" s="791"/>
      <c r="I54" s="791"/>
      <c r="K54" s="33"/>
      <c r="L54" s="33"/>
      <c r="M54" s="33"/>
    </row>
    <row r="55" spans="1:13">
      <c r="A55" s="14"/>
    </row>
    <row r="56" spans="1:13">
      <c r="A56" s="926"/>
      <c r="B56" s="926"/>
      <c r="C56" s="926"/>
      <c r="D56" s="926"/>
      <c r="E56" s="926"/>
      <c r="F56" s="926"/>
      <c r="G56" s="926"/>
      <c r="H56" s="926"/>
      <c r="I56" s="926"/>
      <c r="J56" s="926"/>
      <c r="K56" s="926"/>
      <c r="L56" s="926"/>
    </row>
  </sheetData>
  <mergeCells count="20">
    <mergeCell ref="A56:L56"/>
    <mergeCell ref="I8:L8"/>
    <mergeCell ref="A9:A10"/>
    <mergeCell ref="B9:B10"/>
    <mergeCell ref="C9:G9"/>
    <mergeCell ref="H9:L9"/>
    <mergeCell ref="C12:L45"/>
    <mergeCell ref="I51:L51"/>
    <mergeCell ref="I50:L50"/>
    <mergeCell ref="I52:L52"/>
    <mergeCell ref="I53:L53"/>
    <mergeCell ref="B51:E51"/>
    <mergeCell ref="B52:E52"/>
    <mergeCell ref="B53:E53"/>
    <mergeCell ref="L1:N1"/>
    <mergeCell ref="A2:L2"/>
    <mergeCell ref="A3:L3"/>
    <mergeCell ref="A5:L5"/>
    <mergeCell ref="A7:B7"/>
    <mergeCell ref="F7:L7"/>
  </mergeCells>
  <printOptions horizontalCentered="1"/>
  <pageMargins left="0.70866141732283472" right="0.70866141732283472" top="0.23622047244094491" bottom="0" header="0.31496062992125984" footer="0.31496062992125984"/>
  <pageSetup paperSize="9" scale="72" orientation="landscape" r:id="rId1"/>
  <rowBreaks count="1" manualBreakCount="1">
    <brk id="55" max="16383" man="1"/>
  </rowBreaks>
</worksheet>
</file>

<file path=xl/worksheets/sheet24.xml><?xml version="1.0" encoding="utf-8"?>
<worksheet xmlns="http://schemas.openxmlformats.org/spreadsheetml/2006/main" xmlns:r="http://schemas.openxmlformats.org/officeDocument/2006/relationships">
  <sheetPr codeName="Sheet24">
    <pageSetUpPr fitToPage="1"/>
  </sheetPr>
  <dimension ref="A1:U58"/>
  <sheetViews>
    <sheetView view="pageBreakPreview" topLeftCell="A19" zoomScale="90" zoomScaleSheetLayoutView="90" workbookViewId="0">
      <selection activeCell="C35" sqref="C35:Q35"/>
    </sheetView>
  </sheetViews>
  <sheetFormatPr defaultRowHeight="12.75"/>
  <cols>
    <col min="1" max="1" width="7.42578125" style="15" customWidth="1"/>
    <col min="2" max="2" width="18.28515625" style="15" customWidth="1"/>
    <col min="3" max="5" width="9.42578125" style="15" bestFit="1" customWidth="1"/>
    <col min="6" max="6" width="8.28515625" style="15" bestFit="1" customWidth="1"/>
    <col min="7" max="7" width="7.140625" style="15" bestFit="1" customWidth="1"/>
    <col min="8" max="8" width="8.28515625" style="15" bestFit="1" customWidth="1"/>
    <col min="9" max="12" width="9.42578125" style="15" bestFit="1" customWidth="1"/>
    <col min="13" max="13" width="8.28515625" style="15" bestFit="1" customWidth="1"/>
    <col min="14" max="14" width="9.42578125" style="15" bestFit="1" customWidth="1"/>
    <col min="15" max="15" width="10.5703125" style="15" bestFit="1" customWidth="1"/>
    <col min="16" max="16" width="9.5703125" style="15" bestFit="1" customWidth="1"/>
    <col min="17" max="17" width="11.5703125" style="15" bestFit="1" customWidth="1"/>
    <col min="18" max="16384" width="9.140625" style="15"/>
  </cols>
  <sheetData>
    <row r="1" spans="1:21" customFormat="1" ht="15">
      <c r="H1" s="33"/>
      <c r="I1" s="33"/>
      <c r="J1" s="33"/>
      <c r="K1" s="33"/>
      <c r="L1" s="33"/>
      <c r="M1" s="33"/>
      <c r="N1" s="33"/>
      <c r="O1" s="33"/>
      <c r="P1" s="919" t="s">
        <v>64</v>
      </c>
      <c r="Q1" s="919"/>
      <c r="S1" s="15"/>
      <c r="T1" s="40"/>
      <c r="U1" s="40"/>
    </row>
    <row r="2" spans="1:21" customFormat="1" ht="15">
      <c r="A2" s="920" t="s">
        <v>0</v>
      </c>
      <c r="B2" s="920"/>
      <c r="C2" s="920"/>
      <c r="D2" s="920"/>
      <c r="E2" s="920"/>
      <c r="F2" s="920"/>
      <c r="G2" s="920"/>
      <c r="H2" s="920"/>
      <c r="I2" s="920"/>
      <c r="J2" s="920"/>
      <c r="K2" s="920"/>
      <c r="L2" s="920"/>
      <c r="M2" s="920"/>
      <c r="N2" s="920"/>
      <c r="O2" s="920"/>
      <c r="P2" s="920"/>
      <c r="Q2" s="920"/>
      <c r="R2" s="42"/>
      <c r="S2" s="42"/>
      <c r="T2" s="42"/>
      <c r="U2" s="42"/>
    </row>
    <row r="3" spans="1:21" customFormat="1" ht="20.25">
      <c r="A3" s="848" t="s">
        <v>745</v>
      </c>
      <c r="B3" s="848"/>
      <c r="C3" s="848"/>
      <c r="D3" s="848"/>
      <c r="E3" s="848"/>
      <c r="F3" s="848"/>
      <c r="G3" s="848"/>
      <c r="H3" s="848"/>
      <c r="I3" s="848"/>
      <c r="J3" s="848"/>
      <c r="K3" s="848"/>
      <c r="L3" s="848"/>
      <c r="M3" s="848"/>
      <c r="N3" s="848"/>
      <c r="O3" s="848"/>
      <c r="P3" s="848"/>
      <c r="Q3" s="848"/>
      <c r="R3" s="41"/>
      <c r="S3" s="41"/>
      <c r="T3" s="41"/>
      <c r="U3" s="41"/>
    </row>
    <row r="4" spans="1:21" customFormat="1" ht="10.5" customHeight="1"/>
    <row r="5" spans="1:21">
      <c r="A5" s="23"/>
      <c r="B5" s="23"/>
      <c r="C5" s="23"/>
      <c r="D5" s="23"/>
      <c r="E5" s="22"/>
      <c r="F5" s="22"/>
      <c r="G5" s="22"/>
      <c r="H5" s="22"/>
      <c r="I5" s="22"/>
      <c r="J5" s="22"/>
      <c r="K5" s="22"/>
      <c r="L5" s="22"/>
      <c r="M5" s="22"/>
      <c r="N5" s="23"/>
      <c r="O5" s="23"/>
      <c r="P5" s="22"/>
      <c r="Q5" s="20"/>
    </row>
    <row r="6" spans="1:21" ht="18" customHeight="1">
      <c r="A6" s="925" t="s">
        <v>814</v>
      </c>
      <c r="B6" s="925"/>
      <c r="C6" s="925"/>
      <c r="D6" s="925"/>
      <c r="E6" s="925"/>
      <c r="F6" s="925"/>
      <c r="G6" s="925"/>
      <c r="H6" s="925"/>
      <c r="I6" s="925"/>
      <c r="J6" s="925"/>
      <c r="K6" s="925"/>
      <c r="L6" s="925"/>
      <c r="M6" s="925"/>
      <c r="N6" s="925"/>
      <c r="O6" s="925"/>
      <c r="P6" s="925"/>
      <c r="Q6" s="925"/>
    </row>
    <row r="7" spans="1:21" ht="9.75" customHeight="1"/>
    <row r="8" spans="1:21" ht="0.75" customHeight="1"/>
    <row r="9" spans="1:21">
      <c r="A9" s="850" t="s">
        <v>911</v>
      </c>
      <c r="B9" s="850"/>
      <c r="Q9" s="30" t="s">
        <v>23</v>
      </c>
      <c r="R9" s="18"/>
      <c r="S9" s="20"/>
    </row>
    <row r="10" spans="1:21" ht="15.75">
      <c r="A10" s="13"/>
      <c r="N10" s="914" t="s">
        <v>831</v>
      </c>
      <c r="O10" s="914"/>
      <c r="P10" s="914"/>
      <c r="Q10" s="914"/>
    </row>
    <row r="11" spans="1:21" ht="28.5" customHeight="1">
      <c r="A11" s="917" t="s">
        <v>2</v>
      </c>
      <c r="B11" s="917" t="s">
        <v>3</v>
      </c>
      <c r="C11" s="834" t="s">
        <v>855</v>
      </c>
      <c r="D11" s="834"/>
      <c r="E11" s="834"/>
      <c r="F11" s="834" t="s">
        <v>825</v>
      </c>
      <c r="G11" s="834"/>
      <c r="H11" s="834"/>
      <c r="I11" s="952" t="s">
        <v>371</v>
      </c>
      <c r="J11" s="953"/>
      <c r="K11" s="954"/>
      <c r="L11" s="952" t="s">
        <v>94</v>
      </c>
      <c r="M11" s="953"/>
      <c r="N11" s="954"/>
      <c r="O11" s="955" t="s">
        <v>852</v>
      </c>
      <c r="P11" s="956"/>
      <c r="Q11" s="957"/>
    </row>
    <row r="12" spans="1:21" ht="39.75" customHeight="1">
      <c r="A12" s="918"/>
      <c r="B12" s="918"/>
      <c r="C12" s="5" t="s">
        <v>113</v>
      </c>
      <c r="D12" s="5" t="s">
        <v>665</v>
      </c>
      <c r="E12" s="36" t="s">
        <v>17</v>
      </c>
      <c r="F12" s="5" t="s">
        <v>113</v>
      </c>
      <c r="G12" s="5" t="s">
        <v>666</v>
      </c>
      <c r="H12" s="36" t="s">
        <v>17</v>
      </c>
      <c r="I12" s="5" t="s">
        <v>113</v>
      </c>
      <c r="J12" s="5" t="s">
        <v>666</v>
      </c>
      <c r="K12" s="36" t="s">
        <v>17</v>
      </c>
      <c r="L12" s="5" t="s">
        <v>113</v>
      </c>
      <c r="M12" s="5" t="s">
        <v>666</v>
      </c>
      <c r="N12" s="36" t="s">
        <v>17</v>
      </c>
      <c r="O12" s="5" t="s">
        <v>230</v>
      </c>
      <c r="P12" s="5" t="s">
        <v>667</v>
      </c>
      <c r="Q12" s="5" t="s">
        <v>114</v>
      </c>
    </row>
    <row r="13" spans="1:21" s="68" customFormat="1">
      <c r="A13" s="65">
        <v>1</v>
      </c>
      <c r="B13" s="65">
        <v>2</v>
      </c>
      <c r="C13" s="65">
        <v>3</v>
      </c>
      <c r="D13" s="65">
        <v>4</v>
      </c>
      <c r="E13" s="65">
        <v>5</v>
      </c>
      <c r="F13" s="65">
        <v>6</v>
      </c>
      <c r="G13" s="65">
        <v>7</v>
      </c>
      <c r="H13" s="65">
        <v>8</v>
      </c>
      <c r="I13" s="65">
        <v>9</v>
      </c>
      <c r="J13" s="65">
        <v>10</v>
      </c>
      <c r="K13" s="65">
        <v>11</v>
      </c>
      <c r="L13" s="65">
        <v>12</v>
      </c>
      <c r="M13" s="65">
        <v>13</v>
      </c>
      <c r="N13" s="65">
        <v>14</v>
      </c>
      <c r="O13" s="65">
        <v>15</v>
      </c>
      <c r="P13" s="65">
        <v>16</v>
      </c>
      <c r="Q13" s="65">
        <v>17</v>
      </c>
    </row>
    <row r="14" spans="1:21">
      <c r="A14" s="539">
        <v>1</v>
      </c>
      <c r="B14" s="537" t="s">
        <v>912</v>
      </c>
      <c r="C14" s="567">
        <f>F14+I14</f>
        <v>335.67964899494473</v>
      </c>
      <c r="D14" s="567">
        <f>G14+J14</f>
        <v>261.99945694688927</v>
      </c>
      <c r="E14" s="570">
        <f>C14+D14</f>
        <v>597.679105941834</v>
      </c>
      <c r="F14" s="567">
        <v>5.16</v>
      </c>
      <c r="G14" s="567">
        <v>36.772790280222637</v>
      </c>
      <c r="H14" s="570">
        <f>F14+G14</f>
        <v>41.932790280222633</v>
      </c>
      <c r="I14" s="567">
        <v>330.5196489949447</v>
      </c>
      <c r="J14" s="567">
        <v>225.22666666666666</v>
      </c>
      <c r="K14" s="570">
        <f>I14+J14</f>
        <v>555.74631566161133</v>
      </c>
      <c r="L14" s="567">
        <v>210.57715429999999</v>
      </c>
      <c r="M14" s="567">
        <v>140.12383130000001</v>
      </c>
      <c r="N14" s="570">
        <f>L14+M14</f>
        <v>350.70098559999997</v>
      </c>
      <c r="O14" s="567">
        <f>F14+I14-L14</f>
        <v>125.10249469494474</v>
      </c>
      <c r="P14" s="567">
        <f>G14+J14-M14</f>
        <v>121.87562564688926</v>
      </c>
      <c r="Q14" s="570">
        <f>O14+P14</f>
        <v>246.978120341834</v>
      </c>
    </row>
    <row r="15" spans="1:21">
      <c r="A15" s="539">
        <v>2</v>
      </c>
      <c r="B15" s="537" t="s">
        <v>913</v>
      </c>
      <c r="C15" s="567">
        <f t="shared" ref="C15:C47" si="0">F15+I15</f>
        <v>521.30474019354415</v>
      </c>
      <c r="D15" s="567">
        <f t="shared" ref="D15:D47" si="1">G15+J15</f>
        <v>343.030528</v>
      </c>
      <c r="E15" s="570">
        <f t="shared" ref="E15:E47" si="2">C15+D15</f>
        <v>864.33526819354415</v>
      </c>
      <c r="F15" s="567">
        <v>46.8</v>
      </c>
      <c r="G15" s="567">
        <v>23.980527999999993</v>
      </c>
      <c r="H15" s="570">
        <f t="shared" ref="H15:H47" si="3">F15+G15</f>
        <v>70.78052799999999</v>
      </c>
      <c r="I15" s="567">
        <v>474.50474019354419</v>
      </c>
      <c r="J15" s="567">
        <v>319.05</v>
      </c>
      <c r="K15" s="570">
        <f t="shared" ref="K15:K47" si="4">I15+J15</f>
        <v>793.55474019354415</v>
      </c>
      <c r="L15" s="567">
        <v>259.9518084</v>
      </c>
      <c r="M15" s="567">
        <v>172.9790844</v>
      </c>
      <c r="N15" s="570">
        <f t="shared" ref="N15:N47" si="5">L15+M15</f>
        <v>432.93089280000004</v>
      </c>
      <c r="O15" s="567">
        <f t="shared" ref="O15:O47" si="6">F15+I15-L15</f>
        <v>261.35293179354414</v>
      </c>
      <c r="P15" s="567">
        <f t="shared" ref="P15:P47" si="7">G15+J15-M15</f>
        <v>170.0514436</v>
      </c>
      <c r="Q15" s="570">
        <f t="shared" ref="Q15:Q47" si="8">O15+P15</f>
        <v>431.40437539354411</v>
      </c>
    </row>
    <row r="16" spans="1:21">
      <c r="A16" s="539">
        <v>3</v>
      </c>
      <c r="B16" s="537" t="s">
        <v>914</v>
      </c>
      <c r="C16" s="567">
        <f t="shared" si="0"/>
        <v>575.21865035477242</v>
      </c>
      <c r="D16" s="567">
        <f t="shared" si="1"/>
        <v>323.68137066666662</v>
      </c>
      <c r="E16" s="570">
        <f t="shared" si="2"/>
        <v>898.90002102143899</v>
      </c>
      <c r="F16" s="567">
        <v>54.906245597058728</v>
      </c>
      <c r="G16" s="567">
        <v>8.7447039999999561</v>
      </c>
      <c r="H16" s="570">
        <f t="shared" si="3"/>
        <v>63.650949597058684</v>
      </c>
      <c r="I16" s="567">
        <v>520.31240475771369</v>
      </c>
      <c r="J16" s="567">
        <v>314.93666666666667</v>
      </c>
      <c r="K16" s="570">
        <f t="shared" si="4"/>
        <v>835.24907142438042</v>
      </c>
      <c r="L16" s="567">
        <v>325.07226989999998</v>
      </c>
      <c r="M16" s="567">
        <v>216.3120309</v>
      </c>
      <c r="N16" s="570">
        <f t="shared" si="5"/>
        <v>541.38430080000001</v>
      </c>
      <c r="O16" s="567">
        <f t="shared" si="6"/>
        <v>250.14638045477244</v>
      </c>
      <c r="P16" s="567">
        <f t="shared" si="7"/>
        <v>107.36933976666663</v>
      </c>
      <c r="Q16" s="570">
        <f t="shared" si="8"/>
        <v>357.5157202214391</v>
      </c>
    </row>
    <row r="17" spans="1:17">
      <c r="A17" s="539">
        <v>4</v>
      </c>
      <c r="B17" s="537" t="s">
        <v>915</v>
      </c>
      <c r="C17" s="567">
        <f t="shared" si="0"/>
        <v>443.57040982035863</v>
      </c>
      <c r="D17" s="567">
        <f t="shared" si="1"/>
        <v>285.13013333333322</v>
      </c>
      <c r="E17" s="570">
        <f t="shared" si="2"/>
        <v>728.7005431536918</v>
      </c>
      <c r="F17" s="567">
        <v>34.520096997058772</v>
      </c>
      <c r="G17" s="567">
        <v>26.076799999999878</v>
      </c>
      <c r="H17" s="570">
        <f t="shared" si="3"/>
        <v>60.59689699705865</v>
      </c>
      <c r="I17" s="567">
        <v>409.05031282329986</v>
      </c>
      <c r="J17" s="567">
        <v>259.05333333333334</v>
      </c>
      <c r="K17" s="570">
        <f t="shared" si="4"/>
        <v>668.1036461566332</v>
      </c>
      <c r="L17" s="567">
        <v>287.19061390000002</v>
      </c>
      <c r="M17" s="567">
        <v>191.10453490000003</v>
      </c>
      <c r="N17" s="570">
        <f t="shared" si="5"/>
        <v>478.29514880000005</v>
      </c>
      <c r="O17" s="567">
        <f t="shared" si="6"/>
        <v>156.37979592035862</v>
      </c>
      <c r="P17" s="567">
        <f t="shared" si="7"/>
        <v>94.025598433333187</v>
      </c>
      <c r="Q17" s="570">
        <f t="shared" si="8"/>
        <v>250.4053943536918</v>
      </c>
    </row>
    <row r="18" spans="1:17">
      <c r="A18" s="539">
        <v>5</v>
      </c>
      <c r="B18" s="537" t="s">
        <v>916</v>
      </c>
      <c r="C18" s="567">
        <f t="shared" si="0"/>
        <v>457.39642026673994</v>
      </c>
      <c r="D18" s="567">
        <f t="shared" si="1"/>
        <v>304.90617066666664</v>
      </c>
      <c r="E18" s="570">
        <f t="shared" si="2"/>
        <v>762.30259093340658</v>
      </c>
      <c r="F18" s="567">
        <v>17.255028897058708</v>
      </c>
      <c r="G18" s="567">
        <v>9.3095039999999472</v>
      </c>
      <c r="H18" s="570">
        <f t="shared" si="3"/>
        <v>26.564532897058655</v>
      </c>
      <c r="I18" s="567">
        <v>440.14139136968123</v>
      </c>
      <c r="J18" s="567">
        <v>295.59666666666669</v>
      </c>
      <c r="K18" s="570">
        <f t="shared" si="4"/>
        <v>735.73805803634787</v>
      </c>
      <c r="L18" s="567">
        <v>300.94826919999997</v>
      </c>
      <c r="M18" s="567">
        <v>200.25925719999998</v>
      </c>
      <c r="N18" s="570">
        <f t="shared" si="5"/>
        <v>501.20752639999995</v>
      </c>
      <c r="O18" s="567">
        <f t="shared" si="6"/>
        <v>156.44815106673997</v>
      </c>
      <c r="P18" s="567">
        <f t="shared" si="7"/>
        <v>104.64691346666666</v>
      </c>
      <c r="Q18" s="570">
        <f t="shared" si="8"/>
        <v>261.09506453340663</v>
      </c>
    </row>
    <row r="19" spans="1:17" s="414" customFormat="1">
      <c r="A19" s="539">
        <v>6</v>
      </c>
      <c r="B19" s="537" t="s">
        <v>917</v>
      </c>
      <c r="C19" s="567">
        <f t="shared" si="0"/>
        <v>215.41370331532252</v>
      </c>
      <c r="D19" s="567">
        <f t="shared" si="1"/>
        <v>139.1003143166667</v>
      </c>
      <c r="E19" s="570">
        <f t="shared" si="2"/>
        <v>354.51401763198919</v>
      </c>
      <c r="F19" s="567">
        <v>17.256599999999992</v>
      </c>
      <c r="G19" s="567">
        <v>14.663647650000016</v>
      </c>
      <c r="H19" s="570">
        <f t="shared" si="3"/>
        <v>31.920247650000007</v>
      </c>
      <c r="I19" s="567">
        <v>198.15710331532253</v>
      </c>
      <c r="J19" s="567">
        <v>124.43666666666667</v>
      </c>
      <c r="K19" s="570">
        <f t="shared" si="4"/>
        <v>322.59376998198923</v>
      </c>
      <c r="L19" s="567">
        <v>135.2996832</v>
      </c>
      <c r="M19" s="567">
        <v>90.032131200000009</v>
      </c>
      <c r="N19" s="570">
        <f t="shared" si="5"/>
        <v>225.33181440000001</v>
      </c>
      <c r="O19" s="567">
        <f t="shared" si="6"/>
        <v>80.114020115322518</v>
      </c>
      <c r="P19" s="567">
        <f t="shared" si="7"/>
        <v>49.068183116666688</v>
      </c>
      <c r="Q19" s="570">
        <f t="shared" si="8"/>
        <v>129.18220323198921</v>
      </c>
    </row>
    <row r="20" spans="1:17" s="414" customFormat="1">
      <c r="A20" s="539">
        <v>7</v>
      </c>
      <c r="B20" s="537" t="s">
        <v>918</v>
      </c>
      <c r="C20" s="567">
        <f t="shared" si="0"/>
        <v>243.85889951263172</v>
      </c>
      <c r="D20" s="567">
        <f t="shared" si="1"/>
        <v>161.03954018333332</v>
      </c>
      <c r="E20" s="570">
        <f t="shared" si="2"/>
        <v>404.89843969596507</v>
      </c>
      <c r="F20" s="567">
        <v>24.612813997058794</v>
      </c>
      <c r="G20" s="567">
        <v>21.306206849999967</v>
      </c>
      <c r="H20" s="570">
        <f t="shared" si="3"/>
        <v>45.919020847058761</v>
      </c>
      <c r="I20" s="567">
        <v>219.24608551557293</v>
      </c>
      <c r="J20" s="567">
        <v>139.73333333333335</v>
      </c>
      <c r="K20" s="570">
        <f t="shared" si="4"/>
        <v>358.97941884890628</v>
      </c>
      <c r="L20" s="567">
        <v>146.76454390000001</v>
      </c>
      <c r="M20" s="567">
        <v>97.661164900000003</v>
      </c>
      <c r="N20" s="570">
        <f t="shared" si="5"/>
        <v>244.4257088</v>
      </c>
      <c r="O20" s="567">
        <f t="shared" si="6"/>
        <v>97.094355612631716</v>
      </c>
      <c r="P20" s="567">
        <f t="shared" si="7"/>
        <v>63.378375283333312</v>
      </c>
      <c r="Q20" s="570">
        <f t="shared" si="8"/>
        <v>160.47273089596501</v>
      </c>
    </row>
    <row r="21" spans="1:17" s="414" customFormat="1">
      <c r="A21" s="539">
        <v>8</v>
      </c>
      <c r="B21" s="537" t="s">
        <v>919</v>
      </c>
      <c r="C21" s="567">
        <f t="shared" si="0"/>
        <v>360.28899694704558</v>
      </c>
      <c r="D21" s="567">
        <f t="shared" si="1"/>
        <v>241.45847631666663</v>
      </c>
      <c r="E21" s="570">
        <f t="shared" si="2"/>
        <v>601.74747326371221</v>
      </c>
      <c r="F21" s="567">
        <v>29.780819497058758</v>
      </c>
      <c r="G21" s="567">
        <v>24.821809649999977</v>
      </c>
      <c r="H21" s="570">
        <f t="shared" si="3"/>
        <v>54.602629147058735</v>
      </c>
      <c r="I21" s="567">
        <v>330.50817744998682</v>
      </c>
      <c r="J21" s="567">
        <v>216.63666666666666</v>
      </c>
      <c r="K21" s="570">
        <f t="shared" si="4"/>
        <v>547.14484411665353</v>
      </c>
      <c r="L21" s="567">
        <v>228.26140259999997</v>
      </c>
      <c r="M21" s="567">
        <v>151.89141660000001</v>
      </c>
      <c r="N21" s="570">
        <f t="shared" si="5"/>
        <v>380.15281919999995</v>
      </c>
      <c r="O21" s="567">
        <f t="shared" si="6"/>
        <v>132.02759434704561</v>
      </c>
      <c r="P21" s="567">
        <f t="shared" si="7"/>
        <v>89.56705971666662</v>
      </c>
      <c r="Q21" s="570">
        <f t="shared" si="8"/>
        <v>221.59465406371223</v>
      </c>
    </row>
    <row r="22" spans="1:17" s="414" customFormat="1">
      <c r="A22" s="539">
        <v>9</v>
      </c>
      <c r="B22" s="537" t="s">
        <v>920</v>
      </c>
      <c r="C22" s="567">
        <f t="shared" si="0"/>
        <v>302.97207847769522</v>
      </c>
      <c r="D22" s="567">
        <f t="shared" si="1"/>
        <v>196.51075733333337</v>
      </c>
      <c r="E22" s="570">
        <f t="shared" si="2"/>
        <v>499.48283581102862</v>
      </c>
      <c r="F22" s="567">
        <v>18.270823097058781</v>
      </c>
      <c r="G22" s="567">
        <v>9.8974240000000293</v>
      </c>
      <c r="H22" s="570">
        <f t="shared" si="3"/>
        <v>28.16824709705881</v>
      </c>
      <c r="I22" s="567">
        <v>284.70125538063644</v>
      </c>
      <c r="J22" s="567">
        <v>186.61333333333334</v>
      </c>
      <c r="K22" s="570">
        <f t="shared" si="4"/>
        <v>471.31458871396978</v>
      </c>
      <c r="L22" s="567">
        <v>187.65945719999999</v>
      </c>
      <c r="M22" s="567">
        <v>124.87376519999999</v>
      </c>
      <c r="N22" s="570">
        <f t="shared" si="5"/>
        <v>312.5332224</v>
      </c>
      <c r="O22" s="567">
        <f t="shared" si="6"/>
        <v>115.31262127769523</v>
      </c>
      <c r="P22" s="567">
        <f t="shared" si="7"/>
        <v>71.636992133333379</v>
      </c>
      <c r="Q22" s="570">
        <f t="shared" si="8"/>
        <v>186.94961341102862</v>
      </c>
    </row>
    <row r="23" spans="1:17" s="414" customFormat="1">
      <c r="A23" s="539">
        <v>10</v>
      </c>
      <c r="B23" s="537" t="s">
        <v>921</v>
      </c>
      <c r="C23" s="567">
        <f t="shared" si="0"/>
        <v>407.65470078008343</v>
      </c>
      <c r="D23" s="567">
        <f t="shared" si="1"/>
        <v>250.07584758333331</v>
      </c>
      <c r="E23" s="570">
        <f t="shared" si="2"/>
        <v>657.7305483634168</v>
      </c>
      <c r="F23" s="567">
        <v>6.7843770970587798</v>
      </c>
      <c r="G23" s="567">
        <v>9.5025142499999617</v>
      </c>
      <c r="H23" s="570">
        <f t="shared" si="3"/>
        <v>16.286891347058742</v>
      </c>
      <c r="I23" s="567">
        <v>400.87032368302465</v>
      </c>
      <c r="J23" s="567">
        <v>240.57333333333335</v>
      </c>
      <c r="K23" s="570">
        <f t="shared" si="4"/>
        <v>641.44365701635797</v>
      </c>
      <c r="L23" s="567">
        <v>242.21706879999999</v>
      </c>
      <c r="M23" s="567">
        <v>161.1779008</v>
      </c>
      <c r="N23" s="570">
        <f t="shared" si="5"/>
        <v>403.39496959999997</v>
      </c>
      <c r="O23" s="567">
        <f t="shared" si="6"/>
        <v>165.43763198008344</v>
      </c>
      <c r="P23" s="567">
        <f t="shared" si="7"/>
        <v>88.89794678333331</v>
      </c>
      <c r="Q23" s="570">
        <f t="shared" si="8"/>
        <v>254.33557876341675</v>
      </c>
    </row>
    <row r="24" spans="1:17" s="414" customFormat="1">
      <c r="A24" s="539">
        <v>11</v>
      </c>
      <c r="B24" s="537" t="s">
        <v>922</v>
      </c>
      <c r="C24" s="567">
        <f t="shared" si="0"/>
        <v>263.33897795254308</v>
      </c>
      <c r="D24" s="567">
        <f t="shared" si="1"/>
        <v>182.31523365000001</v>
      </c>
      <c r="E24" s="570">
        <f t="shared" si="2"/>
        <v>445.65421160254311</v>
      </c>
      <c r="F24" s="567">
        <v>1.5437263970587765</v>
      </c>
      <c r="G24" s="567">
        <v>9.5233650000011494E-2</v>
      </c>
      <c r="H24" s="570">
        <f t="shared" si="3"/>
        <v>1.6389600470587879</v>
      </c>
      <c r="I24" s="567">
        <v>261.7952515554843</v>
      </c>
      <c r="J24" s="567">
        <v>182.22</v>
      </c>
      <c r="K24" s="570">
        <f t="shared" si="4"/>
        <v>444.01525155548427</v>
      </c>
      <c r="L24" s="567">
        <v>187.7739436</v>
      </c>
      <c r="M24" s="567">
        <v>124.9499476</v>
      </c>
      <c r="N24" s="570">
        <f t="shared" si="5"/>
        <v>312.72389120000003</v>
      </c>
      <c r="O24" s="567">
        <f t="shared" si="6"/>
        <v>75.56503435254308</v>
      </c>
      <c r="P24" s="567">
        <f t="shared" si="7"/>
        <v>57.365286050000009</v>
      </c>
      <c r="Q24" s="570">
        <f t="shared" si="8"/>
        <v>132.93032040254309</v>
      </c>
    </row>
    <row r="25" spans="1:17" s="414" customFormat="1">
      <c r="A25" s="539">
        <v>12</v>
      </c>
      <c r="B25" s="537" t="s">
        <v>923</v>
      </c>
      <c r="C25" s="567">
        <f t="shared" si="0"/>
        <v>675.86259691056523</v>
      </c>
      <c r="D25" s="567">
        <f t="shared" si="1"/>
        <v>419.60918399999986</v>
      </c>
      <c r="E25" s="570">
        <f t="shared" si="2"/>
        <v>1095.471780910565</v>
      </c>
      <c r="F25" s="567">
        <v>16.423775999999862</v>
      </c>
      <c r="G25" s="567">
        <v>2.1191839999998479</v>
      </c>
      <c r="H25" s="570">
        <f t="shared" si="3"/>
        <v>18.542959999999709</v>
      </c>
      <c r="I25" s="567">
        <v>659.43882091056537</v>
      </c>
      <c r="J25" s="567">
        <v>417.49</v>
      </c>
      <c r="K25" s="570">
        <f t="shared" si="4"/>
        <v>1076.9288209105653</v>
      </c>
      <c r="L25" s="567">
        <v>422.47813829999996</v>
      </c>
      <c r="M25" s="567">
        <v>281.12857530000002</v>
      </c>
      <c r="N25" s="570">
        <f t="shared" si="5"/>
        <v>703.60671359999992</v>
      </c>
      <c r="O25" s="567">
        <f t="shared" si="6"/>
        <v>253.38445861056528</v>
      </c>
      <c r="P25" s="567">
        <f t="shared" si="7"/>
        <v>138.48060869999983</v>
      </c>
      <c r="Q25" s="570">
        <f t="shared" si="8"/>
        <v>391.86506731056511</v>
      </c>
    </row>
    <row r="26" spans="1:17" s="414" customFormat="1">
      <c r="A26" s="539">
        <v>13</v>
      </c>
      <c r="B26" s="537" t="s">
        <v>924</v>
      </c>
      <c r="C26" s="567">
        <f t="shared" si="0"/>
        <v>356.29563257554247</v>
      </c>
      <c r="D26" s="567">
        <f t="shared" si="1"/>
        <v>222.94422933333331</v>
      </c>
      <c r="E26" s="570">
        <f t="shared" si="2"/>
        <v>579.23986190887581</v>
      </c>
      <c r="F26" s="567">
        <v>19.236343999999917</v>
      </c>
      <c r="G26" s="567">
        <v>2.0208959999999934</v>
      </c>
      <c r="H26" s="570">
        <f t="shared" si="3"/>
        <v>21.257239999999911</v>
      </c>
      <c r="I26" s="567">
        <v>337.05928857554255</v>
      </c>
      <c r="J26" s="567">
        <v>220.92333333333332</v>
      </c>
      <c r="K26" s="570">
        <f t="shared" si="4"/>
        <v>557.9826219088759</v>
      </c>
      <c r="L26" s="567">
        <v>227.1289395</v>
      </c>
      <c r="M26" s="567">
        <v>151.1378445</v>
      </c>
      <c r="N26" s="570">
        <f t="shared" si="5"/>
        <v>378.26678400000003</v>
      </c>
      <c r="O26" s="567">
        <f t="shared" si="6"/>
        <v>129.16669307554247</v>
      </c>
      <c r="P26" s="567">
        <f t="shared" si="7"/>
        <v>71.806384833333311</v>
      </c>
      <c r="Q26" s="570">
        <f t="shared" si="8"/>
        <v>200.97307790887578</v>
      </c>
    </row>
    <row r="27" spans="1:17" s="414" customFormat="1">
      <c r="A27" s="539">
        <v>14</v>
      </c>
      <c r="B27" s="537" t="s">
        <v>925</v>
      </c>
      <c r="C27" s="567">
        <f t="shared" si="0"/>
        <v>254.96669747716643</v>
      </c>
      <c r="D27" s="567">
        <f t="shared" si="1"/>
        <v>172.94523621666667</v>
      </c>
      <c r="E27" s="570">
        <f t="shared" si="2"/>
        <v>427.91193369383313</v>
      </c>
      <c r="F27" s="567">
        <v>11.105482197058819</v>
      </c>
      <c r="G27" s="567">
        <v>12.318569550000007</v>
      </c>
      <c r="H27" s="570">
        <f t="shared" si="3"/>
        <v>23.424051747058826</v>
      </c>
      <c r="I27" s="567">
        <v>243.86121528010761</v>
      </c>
      <c r="J27" s="567">
        <v>160.62666666666667</v>
      </c>
      <c r="K27" s="570">
        <f t="shared" si="4"/>
        <v>404.48788194677428</v>
      </c>
      <c r="L27" s="567">
        <v>163.25324860000001</v>
      </c>
      <c r="M27" s="567">
        <v>108.6332026</v>
      </c>
      <c r="N27" s="570">
        <f t="shared" si="5"/>
        <v>271.88645120000001</v>
      </c>
      <c r="O27" s="567">
        <f t="shared" si="6"/>
        <v>91.713448877166428</v>
      </c>
      <c r="P27" s="567">
        <f t="shared" si="7"/>
        <v>64.312033616666668</v>
      </c>
      <c r="Q27" s="570">
        <f t="shared" si="8"/>
        <v>156.0254824938331</v>
      </c>
    </row>
    <row r="28" spans="1:17" s="414" customFormat="1">
      <c r="A28" s="539">
        <v>15</v>
      </c>
      <c r="B28" s="537" t="s">
        <v>926</v>
      </c>
      <c r="C28" s="567">
        <f t="shared" si="0"/>
        <v>113.28884337429484</v>
      </c>
      <c r="D28" s="567">
        <f t="shared" si="1"/>
        <v>76.26617848333332</v>
      </c>
      <c r="E28" s="570">
        <f t="shared" si="2"/>
        <v>189.55502185762816</v>
      </c>
      <c r="F28" s="567">
        <v>20.025778897058785</v>
      </c>
      <c r="G28" s="567">
        <v>18.172845149999986</v>
      </c>
      <c r="H28" s="570">
        <f t="shared" si="3"/>
        <v>38.198624047058772</v>
      </c>
      <c r="I28" s="567">
        <v>93.263064477236057</v>
      </c>
      <c r="J28" s="567">
        <v>58.093333333333334</v>
      </c>
      <c r="K28" s="570">
        <f t="shared" si="4"/>
        <v>151.35639781056938</v>
      </c>
      <c r="L28" s="567">
        <v>55.039552</v>
      </c>
      <c r="M28" s="567">
        <v>36.624832000000005</v>
      </c>
      <c r="N28" s="570">
        <f t="shared" si="5"/>
        <v>91.664384000000013</v>
      </c>
      <c r="O28" s="567">
        <f t="shared" si="6"/>
        <v>58.249291374294842</v>
      </c>
      <c r="P28" s="567">
        <f t="shared" si="7"/>
        <v>39.641346483333315</v>
      </c>
      <c r="Q28" s="570">
        <f t="shared" si="8"/>
        <v>97.89063785762815</v>
      </c>
    </row>
    <row r="29" spans="1:17" s="414" customFormat="1">
      <c r="A29" s="539">
        <v>16</v>
      </c>
      <c r="B29" s="537" t="s">
        <v>927</v>
      </c>
      <c r="C29" s="567">
        <f t="shared" si="0"/>
        <v>384.38431442112608</v>
      </c>
      <c r="D29" s="567">
        <f t="shared" si="1"/>
        <v>252.00299118333334</v>
      </c>
      <c r="E29" s="570">
        <f t="shared" si="2"/>
        <v>636.38730560445947</v>
      </c>
      <c r="F29" s="567">
        <v>26.05807119705878</v>
      </c>
      <c r="G29" s="567">
        <v>22.349657849999971</v>
      </c>
      <c r="H29" s="570">
        <f t="shared" si="3"/>
        <v>48.407729047058751</v>
      </c>
      <c r="I29" s="567">
        <v>358.3262432240673</v>
      </c>
      <c r="J29" s="567">
        <v>229.65333333333336</v>
      </c>
      <c r="K29" s="570">
        <f t="shared" si="4"/>
        <v>587.97957655740061</v>
      </c>
      <c r="L29" s="567">
        <v>242.1380097</v>
      </c>
      <c r="M29" s="567">
        <v>161.12529269999999</v>
      </c>
      <c r="N29" s="570">
        <f t="shared" si="5"/>
        <v>403.26330239999999</v>
      </c>
      <c r="O29" s="567">
        <f t="shared" si="6"/>
        <v>142.24630472112608</v>
      </c>
      <c r="P29" s="567">
        <f t="shared" si="7"/>
        <v>90.877698483333347</v>
      </c>
      <c r="Q29" s="570">
        <f t="shared" si="8"/>
        <v>233.12400320445943</v>
      </c>
    </row>
    <row r="30" spans="1:17" s="414" customFormat="1">
      <c r="A30" s="539">
        <v>17</v>
      </c>
      <c r="B30" s="537" t="s">
        <v>928</v>
      </c>
      <c r="C30" s="567">
        <f t="shared" si="0"/>
        <v>241.76566974505155</v>
      </c>
      <c r="D30" s="567">
        <f t="shared" si="1"/>
        <v>162.39336266666666</v>
      </c>
      <c r="E30" s="570">
        <f t="shared" si="2"/>
        <v>404.15903241171821</v>
      </c>
      <c r="F30" s="567">
        <v>1.247543999999948</v>
      </c>
      <c r="G30" s="567">
        <v>1.5366959999999779</v>
      </c>
      <c r="H30" s="570">
        <f t="shared" si="3"/>
        <v>2.7842399999999259</v>
      </c>
      <c r="I30" s="567">
        <v>240.51812574505161</v>
      </c>
      <c r="J30" s="567">
        <v>160.85666666666668</v>
      </c>
      <c r="K30" s="570">
        <f t="shared" si="4"/>
        <v>401.37479241171832</v>
      </c>
      <c r="L30" s="567">
        <v>158.49453099999999</v>
      </c>
      <c r="M30" s="567">
        <v>105.46662099999999</v>
      </c>
      <c r="N30" s="570">
        <f t="shared" si="5"/>
        <v>263.96115199999997</v>
      </c>
      <c r="O30" s="567">
        <f t="shared" si="6"/>
        <v>83.271138745051559</v>
      </c>
      <c r="P30" s="567">
        <f t="shared" si="7"/>
        <v>56.926741666666672</v>
      </c>
      <c r="Q30" s="570">
        <f t="shared" si="8"/>
        <v>140.19788041171824</v>
      </c>
    </row>
    <row r="31" spans="1:17" s="414" customFormat="1">
      <c r="A31" s="539">
        <v>18</v>
      </c>
      <c r="B31" s="537" t="s">
        <v>929</v>
      </c>
      <c r="C31" s="567">
        <f t="shared" si="0"/>
        <v>409.57560882329983</v>
      </c>
      <c r="D31" s="567">
        <f t="shared" si="1"/>
        <v>274.85686399999997</v>
      </c>
      <c r="E31" s="570">
        <f t="shared" si="2"/>
        <v>684.4324728232998</v>
      </c>
      <c r="F31" s="567">
        <v>0.52529599999991206</v>
      </c>
      <c r="G31" s="567">
        <v>19.116863999999964</v>
      </c>
      <c r="H31" s="570">
        <f t="shared" si="3"/>
        <v>19.642159999999876</v>
      </c>
      <c r="I31" s="567">
        <v>409.05031282329992</v>
      </c>
      <c r="J31" s="567">
        <v>255.74</v>
      </c>
      <c r="K31" s="570">
        <f t="shared" si="4"/>
        <v>664.79031282329993</v>
      </c>
      <c r="L31" s="567">
        <v>262.52382499999999</v>
      </c>
      <c r="M31" s="567">
        <v>174.690575</v>
      </c>
      <c r="N31" s="570">
        <f t="shared" si="5"/>
        <v>437.21439999999996</v>
      </c>
      <c r="O31" s="567">
        <f t="shared" si="6"/>
        <v>147.05178382329984</v>
      </c>
      <c r="P31" s="567">
        <f t="shared" si="7"/>
        <v>100.16628899999998</v>
      </c>
      <c r="Q31" s="570">
        <f t="shared" si="8"/>
        <v>247.21807282329982</v>
      </c>
    </row>
    <row r="32" spans="1:17" s="414" customFormat="1">
      <c r="A32" s="539">
        <v>19</v>
      </c>
      <c r="B32" s="537" t="s">
        <v>930</v>
      </c>
      <c r="C32" s="567">
        <f t="shared" si="0"/>
        <v>247.49349264112863</v>
      </c>
      <c r="D32" s="567">
        <f t="shared" si="1"/>
        <v>156.91753066666666</v>
      </c>
      <c r="E32" s="570">
        <f t="shared" si="2"/>
        <v>404.41102330779529</v>
      </c>
      <c r="F32" s="567">
        <v>21.69629599999999</v>
      </c>
      <c r="G32" s="567">
        <v>13.580863999999991</v>
      </c>
      <c r="H32" s="570">
        <f t="shared" si="3"/>
        <v>35.277159999999981</v>
      </c>
      <c r="I32" s="567">
        <v>225.79719664112864</v>
      </c>
      <c r="J32" s="567">
        <v>143.33666666666667</v>
      </c>
      <c r="K32" s="570">
        <f t="shared" si="4"/>
        <v>369.13386330779531</v>
      </c>
      <c r="L32" s="567">
        <v>144.1374361</v>
      </c>
      <c r="M32" s="567">
        <v>95.913015099999996</v>
      </c>
      <c r="N32" s="570">
        <f t="shared" si="5"/>
        <v>240.0504512</v>
      </c>
      <c r="O32" s="567">
        <f t="shared" si="6"/>
        <v>103.35605654112862</v>
      </c>
      <c r="P32" s="567">
        <f t="shared" si="7"/>
        <v>61.004515566666669</v>
      </c>
      <c r="Q32" s="570">
        <f t="shared" si="8"/>
        <v>164.36057210779529</v>
      </c>
    </row>
    <row r="33" spans="1:17" s="414" customFormat="1">
      <c r="A33" s="539">
        <v>20</v>
      </c>
      <c r="B33" s="537" t="s">
        <v>931</v>
      </c>
      <c r="C33" s="567">
        <f t="shared" si="0"/>
        <v>592.96511809111541</v>
      </c>
      <c r="D33" s="567">
        <f t="shared" si="1"/>
        <v>405.32316266666675</v>
      </c>
      <c r="E33" s="570">
        <f t="shared" si="2"/>
        <v>998.2882807577821</v>
      </c>
      <c r="F33" s="567">
        <v>36.659744000000046</v>
      </c>
      <c r="G33" s="567">
        <v>25.776496000000009</v>
      </c>
      <c r="H33" s="570">
        <f t="shared" si="3"/>
        <v>62.436240000000055</v>
      </c>
      <c r="I33" s="567">
        <v>556.30537409111537</v>
      </c>
      <c r="J33" s="567">
        <v>379.54666666666674</v>
      </c>
      <c r="K33" s="570">
        <f t="shared" si="4"/>
        <v>935.85204075778211</v>
      </c>
      <c r="L33" s="567">
        <v>354.4351532</v>
      </c>
      <c r="M33" s="567">
        <v>235.85090120000001</v>
      </c>
      <c r="N33" s="570">
        <f t="shared" si="5"/>
        <v>590.28605440000001</v>
      </c>
      <c r="O33" s="567">
        <f t="shared" si="6"/>
        <v>238.52996489111541</v>
      </c>
      <c r="P33" s="567">
        <f t="shared" si="7"/>
        <v>169.47226146666674</v>
      </c>
      <c r="Q33" s="570">
        <f t="shared" si="8"/>
        <v>408.00222635778215</v>
      </c>
    </row>
    <row r="34" spans="1:17" s="414" customFormat="1">
      <c r="A34" s="539">
        <v>21</v>
      </c>
      <c r="B34" s="537" t="s">
        <v>932</v>
      </c>
      <c r="C34" s="567">
        <f t="shared" si="0"/>
        <v>192.98744313030176</v>
      </c>
      <c r="D34" s="567">
        <f t="shared" si="1"/>
        <v>130.71551211666664</v>
      </c>
      <c r="E34" s="570">
        <f t="shared" si="2"/>
        <v>323.70295524696837</v>
      </c>
      <c r="F34" s="567">
        <v>14.646388897058785</v>
      </c>
      <c r="G34" s="567">
        <v>14.638845449999991</v>
      </c>
      <c r="H34" s="570">
        <f t="shared" si="3"/>
        <v>29.285234347058775</v>
      </c>
      <c r="I34" s="567">
        <v>178.34105423324297</v>
      </c>
      <c r="J34" s="567">
        <v>116.07666666666665</v>
      </c>
      <c r="K34" s="570">
        <f t="shared" si="4"/>
        <v>294.41772089990963</v>
      </c>
      <c r="L34" s="567">
        <v>113.04009459999999</v>
      </c>
      <c r="M34" s="567">
        <v>75.219988600000008</v>
      </c>
      <c r="N34" s="570">
        <f t="shared" si="5"/>
        <v>188.2600832</v>
      </c>
      <c r="O34" s="567">
        <f t="shared" si="6"/>
        <v>79.947348530301767</v>
      </c>
      <c r="P34" s="567">
        <f t="shared" si="7"/>
        <v>55.495523516666637</v>
      </c>
      <c r="Q34" s="570">
        <f t="shared" si="8"/>
        <v>135.4428720469684</v>
      </c>
    </row>
    <row r="35" spans="1:17" s="414" customFormat="1">
      <c r="A35" s="539">
        <v>22</v>
      </c>
      <c r="B35" s="537" t="s">
        <v>933</v>
      </c>
      <c r="C35" s="567">
        <f t="shared" si="0"/>
        <v>268.35785551913204</v>
      </c>
      <c r="D35" s="567">
        <f t="shared" si="1"/>
        <v>186.17133544999996</v>
      </c>
      <c r="E35" s="570">
        <f t="shared" si="2"/>
        <v>454.529190969132</v>
      </c>
      <c r="F35" s="567">
        <v>2.1663999999930184E-2</v>
      </c>
      <c r="G35" s="567">
        <v>3.7213354499999696</v>
      </c>
      <c r="H35" s="570">
        <f t="shared" si="3"/>
        <v>3.7429994499998998</v>
      </c>
      <c r="I35" s="567">
        <v>268.33619151913211</v>
      </c>
      <c r="J35" s="567">
        <v>182.45</v>
      </c>
      <c r="K35" s="570">
        <f t="shared" si="4"/>
        <v>450.7861915191321</v>
      </c>
      <c r="L35" s="567">
        <v>185.34732149999999</v>
      </c>
      <c r="M35" s="567">
        <v>123.3352065</v>
      </c>
      <c r="N35" s="570">
        <f t="shared" si="5"/>
        <v>308.68252799999999</v>
      </c>
      <c r="O35" s="567">
        <f t="shared" si="6"/>
        <v>83.010534019132052</v>
      </c>
      <c r="P35" s="567">
        <f t="shared" si="7"/>
        <v>62.83612894999996</v>
      </c>
      <c r="Q35" s="570">
        <f t="shared" si="8"/>
        <v>145.84666296913201</v>
      </c>
    </row>
    <row r="36" spans="1:17" s="414" customFormat="1">
      <c r="A36" s="539">
        <v>23</v>
      </c>
      <c r="B36" s="537" t="s">
        <v>934</v>
      </c>
      <c r="C36" s="567">
        <f t="shared" si="0"/>
        <v>599.48538040801793</v>
      </c>
      <c r="D36" s="567">
        <f t="shared" si="1"/>
        <v>417.56397866666663</v>
      </c>
      <c r="E36" s="570">
        <f t="shared" si="2"/>
        <v>1017.0493590746846</v>
      </c>
      <c r="F36" s="567">
        <v>33.360967999999843</v>
      </c>
      <c r="G36" s="567">
        <v>21.557311999999968</v>
      </c>
      <c r="H36" s="570">
        <f t="shared" si="3"/>
        <v>54.918279999999811</v>
      </c>
      <c r="I36" s="567">
        <v>566.12441240801809</v>
      </c>
      <c r="J36" s="567">
        <v>396.00666666666666</v>
      </c>
      <c r="K36" s="570">
        <f t="shared" si="4"/>
        <v>962.13107907468475</v>
      </c>
      <c r="L36" s="567">
        <v>420.08239740000005</v>
      </c>
      <c r="M36" s="567">
        <v>279.53438340000002</v>
      </c>
      <c r="N36" s="570">
        <f t="shared" si="5"/>
        <v>699.61678080000002</v>
      </c>
      <c r="O36" s="567">
        <f t="shared" si="6"/>
        <v>179.40298300801788</v>
      </c>
      <c r="P36" s="567">
        <f t="shared" si="7"/>
        <v>138.0295952666666</v>
      </c>
      <c r="Q36" s="570">
        <f t="shared" si="8"/>
        <v>317.43257827468449</v>
      </c>
    </row>
    <row r="37" spans="1:17">
      <c r="A37" s="539">
        <v>24</v>
      </c>
      <c r="B37" s="537" t="s">
        <v>935</v>
      </c>
      <c r="C37" s="567">
        <f t="shared" si="0"/>
        <v>395.94364896179553</v>
      </c>
      <c r="D37" s="567">
        <f t="shared" si="1"/>
        <v>283.61560000000003</v>
      </c>
      <c r="E37" s="570">
        <f t="shared" si="2"/>
        <v>679.55924896179556</v>
      </c>
      <c r="F37" s="567">
        <v>3.2583999999999946</v>
      </c>
      <c r="G37" s="567">
        <v>9.4655999999999949</v>
      </c>
      <c r="H37" s="570">
        <f t="shared" si="3"/>
        <v>12.72399999999999</v>
      </c>
      <c r="I37" s="567">
        <v>392.68524896179554</v>
      </c>
      <c r="J37" s="567">
        <v>274.15000000000003</v>
      </c>
      <c r="K37" s="570">
        <f t="shared" si="4"/>
        <v>666.83524896179551</v>
      </c>
      <c r="L37" s="567">
        <v>274.19673030000001</v>
      </c>
      <c r="M37" s="567">
        <v>182.4580473</v>
      </c>
      <c r="N37" s="570">
        <f t="shared" si="5"/>
        <v>456.65477759999999</v>
      </c>
      <c r="O37" s="567">
        <f t="shared" si="6"/>
        <v>121.74691866179552</v>
      </c>
      <c r="P37" s="567">
        <f t="shared" si="7"/>
        <v>101.15755270000002</v>
      </c>
      <c r="Q37" s="570">
        <f t="shared" si="8"/>
        <v>222.90447136179554</v>
      </c>
    </row>
    <row r="38" spans="1:17">
      <c r="A38" s="539">
        <v>25</v>
      </c>
      <c r="B38" s="537" t="s">
        <v>936</v>
      </c>
      <c r="C38" s="567">
        <f t="shared" si="0"/>
        <v>839.24325645169358</v>
      </c>
      <c r="D38" s="567">
        <f t="shared" si="1"/>
        <v>556.00377600000024</v>
      </c>
      <c r="E38" s="570">
        <f t="shared" si="2"/>
        <v>1395.2470324516939</v>
      </c>
      <c r="F38" s="567">
        <v>73.500663999999915</v>
      </c>
      <c r="G38" s="567">
        <v>36.273776000000097</v>
      </c>
      <c r="H38" s="570">
        <f t="shared" si="3"/>
        <v>109.77444000000001</v>
      </c>
      <c r="I38" s="567">
        <v>765.74259245169367</v>
      </c>
      <c r="J38" s="567">
        <v>519.73000000000013</v>
      </c>
      <c r="K38" s="570">
        <f t="shared" si="4"/>
        <v>1285.4725924516938</v>
      </c>
      <c r="L38" s="567">
        <v>535.25426319999997</v>
      </c>
      <c r="M38" s="567">
        <v>356.17291119999999</v>
      </c>
      <c r="N38" s="570">
        <f t="shared" si="5"/>
        <v>891.42717440000001</v>
      </c>
      <c r="O38" s="567">
        <f t="shared" si="6"/>
        <v>303.98899325169361</v>
      </c>
      <c r="P38" s="567">
        <f t="shared" si="7"/>
        <v>199.83086480000026</v>
      </c>
      <c r="Q38" s="570">
        <f t="shared" si="8"/>
        <v>503.81985805169387</v>
      </c>
    </row>
    <row r="39" spans="1:17">
      <c r="A39" s="539">
        <v>26</v>
      </c>
      <c r="B39" s="537" t="s">
        <v>937</v>
      </c>
      <c r="C39" s="567">
        <f t="shared" si="0"/>
        <v>1110.7185443387998</v>
      </c>
      <c r="D39" s="567">
        <f t="shared" si="1"/>
        <v>753.94852266666669</v>
      </c>
      <c r="E39" s="570">
        <f t="shared" si="2"/>
        <v>1864.6670670054664</v>
      </c>
      <c r="F39" s="567">
        <v>71.732783999999924</v>
      </c>
      <c r="G39" s="567">
        <v>36.321856000000025</v>
      </c>
      <c r="H39" s="570">
        <f t="shared" si="3"/>
        <v>108.05463999999995</v>
      </c>
      <c r="I39" s="567">
        <v>1038.9857603388</v>
      </c>
      <c r="J39" s="567">
        <v>717.62666666666667</v>
      </c>
      <c r="K39" s="570">
        <f t="shared" si="4"/>
        <v>1756.6124270054665</v>
      </c>
      <c r="L39" s="567">
        <v>721.11023679999994</v>
      </c>
      <c r="M39" s="567">
        <v>479.84658880000001</v>
      </c>
      <c r="N39" s="570">
        <f t="shared" si="5"/>
        <v>1200.9568256</v>
      </c>
      <c r="O39" s="567">
        <f t="shared" si="6"/>
        <v>389.60830753879986</v>
      </c>
      <c r="P39" s="567">
        <f t="shared" si="7"/>
        <v>274.10193386666668</v>
      </c>
      <c r="Q39" s="570">
        <f t="shared" si="8"/>
        <v>663.7102414054666</v>
      </c>
    </row>
    <row r="40" spans="1:17">
      <c r="A40" s="539">
        <v>27</v>
      </c>
      <c r="B40" s="537" t="s">
        <v>938</v>
      </c>
      <c r="C40" s="567">
        <f t="shared" si="0"/>
        <v>889.83328164659952</v>
      </c>
      <c r="D40" s="567">
        <f t="shared" si="1"/>
        <v>597.39177066666662</v>
      </c>
      <c r="E40" s="570">
        <f t="shared" si="2"/>
        <v>1487.2250523132661</v>
      </c>
      <c r="F40" s="567">
        <v>71.732655999999793</v>
      </c>
      <c r="G40" s="567">
        <v>36.405103999999902</v>
      </c>
      <c r="H40" s="570">
        <f t="shared" si="3"/>
        <v>108.1377599999997</v>
      </c>
      <c r="I40" s="567">
        <v>818.10062564659972</v>
      </c>
      <c r="J40" s="567">
        <v>560.98666666666668</v>
      </c>
      <c r="K40" s="570">
        <f t="shared" si="4"/>
        <v>1379.0872923132665</v>
      </c>
      <c r="L40" s="567">
        <v>601.01798439999993</v>
      </c>
      <c r="M40" s="567">
        <v>399.93390039999997</v>
      </c>
      <c r="N40" s="570">
        <f t="shared" si="5"/>
        <v>1000.9518847999999</v>
      </c>
      <c r="O40" s="567">
        <f t="shared" si="6"/>
        <v>288.81529724659958</v>
      </c>
      <c r="P40" s="567">
        <f t="shared" si="7"/>
        <v>197.45787026666665</v>
      </c>
      <c r="Q40" s="570">
        <f t="shared" si="8"/>
        <v>486.27316751326623</v>
      </c>
    </row>
    <row r="41" spans="1:17">
      <c r="A41" s="539">
        <v>28</v>
      </c>
      <c r="B41" s="537" t="s">
        <v>939</v>
      </c>
      <c r="C41" s="567">
        <f t="shared" si="0"/>
        <v>1003.0877017195091</v>
      </c>
      <c r="D41" s="567">
        <f t="shared" si="1"/>
        <v>720.65336533333345</v>
      </c>
      <c r="E41" s="570">
        <f t="shared" si="2"/>
        <v>1723.7410670528425</v>
      </c>
      <c r="F41" s="567">
        <v>90.090047999999911</v>
      </c>
      <c r="G41" s="567">
        <v>62.22003200000006</v>
      </c>
      <c r="H41" s="570">
        <f t="shared" si="3"/>
        <v>152.31007999999997</v>
      </c>
      <c r="I41" s="567">
        <v>912.99765371950923</v>
      </c>
      <c r="J41" s="567">
        <v>658.43333333333339</v>
      </c>
      <c r="K41" s="570">
        <f t="shared" si="4"/>
        <v>1571.4309870528427</v>
      </c>
      <c r="L41" s="567">
        <v>675.99847950000003</v>
      </c>
      <c r="M41" s="567">
        <v>449.82798450000001</v>
      </c>
      <c r="N41" s="570">
        <f t="shared" si="5"/>
        <v>1125.826464</v>
      </c>
      <c r="O41" s="567">
        <f t="shared" si="6"/>
        <v>327.08922221950911</v>
      </c>
      <c r="P41" s="567">
        <f t="shared" si="7"/>
        <v>270.82538083333344</v>
      </c>
      <c r="Q41" s="570">
        <f t="shared" si="8"/>
        <v>597.91460305284249</v>
      </c>
    </row>
    <row r="42" spans="1:17">
      <c r="A42" s="539">
        <v>29</v>
      </c>
      <c r="B42" s="537" t="s">
        <v>940</v>
      </c>
      <c r="C42" s="567">
        <f t="shared" si="0"/>
        <v>607.73662195261988</v>
      </c>
      <c r="D42" s="567">
        <f t="shared" si="1"/>
        <v>415.34745599999997</v>
      </c>
      <c r="E42" s="570">
        <f t="shared" si="2"/>
        <v>1023.0840779526199</v>
      </c>
      <c r="F42" s="567">
        <v>35.066184000000021</v>
      </c>
      <c r="G42" s="567">
        <v>24.987455999999952</v>
      </c>
      <c r="H42" s="570">
        <f t="shared" si="3"/>
        <v>60.053639999999973</v>
      </c>
      <c r="I42" s="567">
        <v>572.67043795261986</v>
      </c>
      <c r="J42" s="567">
        <v>390.36</v>
      </c>
      <c r="K42" s="570">
        <f t="shared" si="4"/>
        <v>963.03043795261988</v>
      </c>
      <c r="L42" s="567">
        <v>362.64371509999995</v>
      </c>
      <c r="M42" s="567">
        <v>241.3131041</v>
      </c>
      <c r="N42" s="570">
        <f t="shared" si="5"/>
        <v>603.95681919999993</v>
      </c>
      <c r="O42" s="567">
        <f t="shared" si="6"/>
        <v>245.09290685261993</v>
      </c>
      <c r="P42" s="567">
        <f t="shared" si="7"/>
        <v>174.03435189999996</v>
      </c>
      <c r="Q42" s="570">
        <f t="shared" si="8"/>
        <v>419.12725875261992</v>
      </c>
    </row>
    <row r="43" spans="1:17">
      <c r="A43" s="539">
        <v>30</v>
      </c>
      <c r="B43" s="537" t="s">
        <v>941</v>
      </c>
      <c r="C43" s="567">
        <f t="shared" si="0"/>
        <v>1044.5302766195423</v>
      </c>
      <c r="D43" s="567">
        <f t="shared" si="1"/>
        <v>687.84189866666668</v>
      </c>
      <c r="E43" s="570">
        <f t="shared" si="2"/>
        <v>1732.3721752862089</v>
      </c>
      <c r="F43" s="567">
        <v>67.590747999999962</v>
      </c>
      <c r="G43" s="567">
        <v>26.275232000000074</v>
      </c>
      <c r="H43" s="570">
        <f t="shared" si="3"/>
        <v>93.865980000000036</v>
      </c>
      <c r="I43" s="567">
        <v>976.93952861954244</v>
      </c>
      <c r="J43" s="567">
        <v>661.56666666666661</v>
      </c>
      <c r="K43" s="570">
        <f t="shared" si="4"/>
        <v>1638.506195286209</v>
      </c>
      <c r="L43" s="567">
        <v>597.8879273</v>
      </c>
      <c r="M43" s="567">
        <v>397.85107429999999</v>
      </c>
      <c r="N43" s="570">
        <f t="shared" si="5"/>
        <v>995.73900159999994</v>
      </c>
      <c r="O43" s="567">
        <f t="shared" si="6"/>
        <v>446.64234931954229</v>
      </c>
      <c r="P43" s="567">
        <f t="shared" si="7"/>
        <v>289.99082436666669</v>
      </c>
      <c r="Q43" s="570">
        <f t="shared" si="8"/>
        <v>736.63317368620892</v>
      </c>
    </row>
    <row r="44" spans="1:17">
      <c r="A44" s="539">
        <v>31</v>
      </c>
      <c r="B44" s="537" t="s">
        <v>942</v>
      </c>
      <c r="C44" s="567">
        <f t="shared" si="0"/>
        <v>946.43298202914423</v>
      </c>
      <c r="D44" s="567">
        <f t="shared" si="1"/>
        <v>694.67639165000026</v>
      </c>
      <c r="E44" s="570">
        <f t="shared" si="2"/>
        <v>1641.1093736791445</v>
      </c>
      <c r="F44" s="567">
        <v>21.982326397058841</v>
      </c>
      <c r="G44" s="567">
        <v>20.016391650000173</v>
      </c>
      <c r="H44" s="570">
        <f t="shared" si="3"/>
        <v>41.998718047059015</v>
      </c>
      <c r="I44" s="567">
        <v>924.45065563208539</v>
      </c>
      <c r="J44" s="567">
        <v>674.66000000000008</v>
      </c>
      <c r="K44" s="570">
        <f t="shared" si="4"/>
        <v>1599.1106556320856</v>
      </c>
      <c r="L44" s="567">
        <v>646.85012369999993</v>
      </c>
      <c r="M44" s="567">
        <v>430.4318667</v>
      </c>
      <c r="N44" s="570">
        <f t="shared" si="5"/>
        <v>1077.2819903999998</v>
      </c>
      <c r="O44" s="567">
        <f t="shared" si="6"/>
        <v>299.5828583291443</v>
      </c>
      <c r="P44" s="567">
        <f t="shared" si="7"/>
        <v>264.24452495000025</v>
      </c>
      <c r="Q44" s="570">
        <f t="shared" si="8"/>
        <v>563.82738327914456</v>
      </c>
    </row>
    <row r="45" spans="1:17">
      <c r="A45" s="539">
        <v>32</v>
      </c>
      <c r="B45" s="537" t="s">
        <v>943</v>
      </c>
      <c r="C45" s="567">
        <f t="shared" si="0"/>
        <v>622.10382914396666</v>
      </c>
      <c r="D45" s="567">
        <f t="shared" si="1"/>
        <v>420.25697600000007</v>
      </c>
      <c r="E45" s="570">
        <f t="shared" si="2"/>
        <v>1042.3608051439667</v>
      </c>
      <c r="F45" s="567">
        <v>46.165463999999929</v>
      </c>
      <c r="G45" s="567">
        <v>29.386976000000061</v>
      </c>
      <c r="H45" s="570">
        <f t="shared" si="3"/>
        <v>75.55243999999999</v>
      </c>
      <c r="I45" s="567">
        <v>575.93836514396673</v>
      </c>
      <c r="J45" s="567">
        <v>390.87</v>
      </c>
      <c r="K45" s="570">
        <f t="shared" si="4"/>
        <v>966.80836514396674</v>
      </c>
      <c r="L45" s="567">
        <v>419.30232430000001</v>
      </c>
      <c r="M45" s="567">
        <v>279.01530129999998</v>
      </c>
      <c r="N45" s="570">
        <f t="shared" si="5"/>
        <v>698.31762559999993</v>
      </c>
      <c r="O45" s="567">
        <f t="shared" si="6"/>
        <v>202.80150484396665</v>
      </c>
      <c r="P45" s="567">
        <f t="shared" si="7"/>
        <v>141.24167470000009</v>
      </c>
      <c r="Q45" s="570">
        <f t="shared" si="8"/>
        <v>344.04317954396674</v>
      </c>
    </row>
    <row r="46" spans="1:17">
      <c r="A46" s="539">
        <v>33</v>
      </c>
      <c r="B46" s="537" t="s">
        <v>944</v>
      </c>
      <c r="C46" s="567">
        <f t="shared" si="0"/>
        <v>896.54619342123999</v>
      </c>
      <c r="D46" s="567">
        <f t="shared" si="1"/>
        <v>667.17385600000011</v>
      </c>
      <c r="E46" s="570">
        <f t="shared" si="2"/>
        <v>1563.7200494212402</v>
      </c>
      <c r="F46" s="567">
        <v>69.63646735101338</v>
      </c>
      <c r="G46" s="567">
        <v>54.763856000000033</v>
      </c>
      <c r="H46" s="570">
        <f t="shared" si="3"/>
        <v>124.40032335101341</v>
      </c>
      <c r="I46" s="567">
        <v>826.90972607022661</v>
      </c>
      <c r="J46" s="567">
        <v>612.41000000000008</v>
      </c>
      <c r="K46" s="570">
        <f t="shared" si="4"/>
        <v>1439.3197260702268</v>
      </c>
      <c r="L46" s="567">
        <v>639.29507039999999</v>
      </c>
      <c r="M46" s="567">
        <v>425.40452640000001</v>
      </c>
      <c r="N46" s="570">
        <f t="shared" si="5"/>
        <v>1064.6995968000001</v>
      </c>
      <c r="O46" s="567">
        <f t="shared" si="6"/>
        <v>257.25112302124001</v>
      </c>
      <c r="P46" s="567">
        <f t="shared" si="7"/>
        <v>241.76932960000011</v>
      </c>
      <c r="Q46" s="570">
        <f t="shared" si="8"/>
        <v>499.02045262124011</v>
      </c>
    </row>
    <row r="47" spans="1:17">
      <c r="A47" s="539">
        <v>34</v>
      </c>
      <c r="B47" s="537" t="s">
        <v>945</v>
      </c>
      <c r="C47" s="567">
        <f t="shared" si="0"/>
        <v>555.49168733353395</v>
      </c>
      <c r="D47" s="567">
        <f t="shared" si="1"/>
        <v>413.35091998333331</v>
      </c>
      <c r="E47" s="570">
        <f t="shared" si="2"/>
        <v>968.84260731686732</v>
      </c>
      <c r="F47" s="567">
        <v>0.83044799999981933</v>
      </c>
      <c r="G47" s="567">
        <v>0.92758665000002338</v>
      </c>
      <c r="H47" s="570">
        <f t="shared" si="3"/>
        <v>1.7580346499998427</v>
      </c>
      <c r="I47" s="567">
        <v>554.66123933353413</v>
      </c>
      <c r="J47" s="567">
        <v>412.42333333333329</v>
      </c>
      <c r="K47" s="570">
        <f t="shared" si="4"/>
        <v>967.08457266686742</v>
      </c>
      <c r="L47" s="567">
        <v>427.17175789999999</v>
      </c>
      <c r="M47" s="567">
        <v>284.2518389</v>
      </c>
      <c r="N47" s="570">
        <f t="shared" si="5"/>
        <v>711.42359680000004</v>
      </c>
      <c r="O47" s="567">
        <f t="shared" si="6"/>
        <v>128.31992943353396</v>
      </c>
      <c r="P47" s="567">
        <f t="shared" si="7"/>
        <v>129.09908108333332</v>
      </c>
      <c r="Q47" s="570">
        <f t="shared" si="8"/>
        <v>257.41901051686727</v>
      </c>
    </row>
    <row r="48" spans="1:17">
      <c r="A48" s="559" t="s">
        <v>17</v>
      </c>
      <c r="B48" s="537"/>
      <c r="C48" s="574">
        <f t="shared" ref="C48:E48" si="9">SUM(C14:C47)</f>
        <v>17375.793903350863</v>
      </c>
      <c r="D48" s="574">
        <f t="shared" si="9"/>
        <v>11777.217927413558</v>
      </c>
      <c r="E48" s="574">
        <f t="shared" si="9"/>
        <v>29153.011830764422</v>
      </c>
      <c r="F48" s="574">
        <f>SUM(F14:F47)</f>
        <v>1009.4840745127761</v>
      </c>
      <c r="G48" s="574">
        <f>SUM(G14:G47)</f>
        <v>679.12459408022255</v>
      </c>
      <c r="H48" s="570">
        <f>SUM(H14:H47)</f>
        <v>1688.6086685929981</v>
      </c>
      <c r="I48" s="570">
        <f t="shared" ref="I48:K48" si="10">SUM(I14:I47)</f>
        <v>16366.309828838093</v>
      </c>
      <c r="J48" s="570">
        <f t="shared" si="10"/>
        <v>11098.093333333334</v>
      </c>
      <c r="K48" s="570">
        <f t="shared" si="10"/>
        <v>27464.40316217142</v>
      </c>
      <c r="L48" s="570">
        <f t="shared" ref="L48" si="11">SUM(L14:L47)</f>
        <v>11160.543474800001</v>
      </c>
      <c r="M48" s="570">
        <f t="shared" ref="M48:N48" si="12">SUM(M14:M47)</f>
        <v>7426.5326467999976</v>
      </c>
      <c r="N48" s="570">
        <f t="shared" si="12"/>
        <v>18587.076121599999</v>
      </c>
      <c r="O48" s="570">
        <f t="shared" ref="O48" si="13">SUM(O14:O47)</f>
        <v>6215.2504285508694</v>
      </c>
      <c r="P48" s="570">
        <f t="shared" ref="P48" si="14">SUM(P14:P47)</f>
        <v>4350.6852806135566</v>
      </c>
      <c r="Q48" s="570">
        <f t="shared" ref="Q48" si="15">SUM(Q14:Q47)</f>
        <v>10565.935709164427</v>
      </c>
    </row>
    <row r="49" spans="1:17">
      <c r="A49" s="11"/>
      <c r="B49" s="28"/>
      <c r="C49" s="28"/>
      <c r="D49" s="28"/>
      <c r="E49" s="20"/>
      <c r="F49" s="20"/>
      <c r="G49" s="20"/>
      <c r="H49" s="20"/>
      <c r="I49" s="20"/>
      <c r="J49" s="20"/>
      <c r="K49" s="20"/>
      <c r="L49" s="20"/>
      <c r="M49" s="20"/>
      <c r="N49" s="20"/>
      <c r="O49" s="20"/>
      <c r="P49" s="20"/>
      <c r="Q49" s="20"/>
    </row>
    <row r="50" spans="1:17" ht="14.25" customHeight="1">
      <c r="A50" s="958" t="s">
        <v>668</v>
      </c>
      <c r="B50" s="958"/>
      <c r="C50" s="958"/>
      <c r="D50" s="958"/>
      <c r="E50" s="958"/>
      <c r="F50" s="958"/>
      <c r="G50" s="958"/>
      <c r="H50" s="958"/>
      <c r="I50" s="958"/>
      <c r="J50" s="958"/>
      <c r="K50" s="958"/>
      <c r="L50" s="958"/>
      <c r="M50" s="958"/>
      <c r="N50" s="958"/>
      <c r="O50" s="958"/>
      <c r="P50" s="958"/>
      <c r="Q50" s="958"/>
    </row>
    <row r="51" spans="1:17" ht="15.75" customHeight="1">
      <c r="A51" s="32"/>
      <c r="B51" s="39"/>
      <c r="C51" s="39"/>
      <c r="D51" s="582"/>
      <c r="E51" s="39"/>
      <c r="F51" s="39"/>
      <c r="G51" s="39"/>
      <c r="H51" s="39"/>
      <c r="I51" s="582"/>
      <c r="J51" s="582"/>
      <c r="K51" s="582"/>
      <c r="L51" s="39"/>
      <c r="M51" s="39"/>
      <c r="N51" s="39"/>
      <c r="O51" s="39"/>
      <c r="P51" s="39"/>
      <c r="Q51" s="39"/>
    </row>
    <row r="52" spans="1:17" ht="15.75" customHeight="1">
      <c r="A52" s="414"/>
      <c r="B52" s="414"/>
      <c r="C52" s="414"/>
      <c r="D52" s="700"/>
      <c r="E52" s="414"/>
      <c r="F52" s="414"/>
      <c r="G52" s="414"/>
      <c r="H52" s="414"/>
      <c r="I52" s="414"/>
      <c r="J52" s="414"/>
      <c r="K52" s="414"/>
      <c r="L52" s="414"/>
      <c r="M52" s="140"/>
    </row>
    <row r="53" spans="1:17" ht="12.75" customHeight="1">
      <c r="A53" s="414"/>
      <c r="B53" s="13"/>
      <c r="C53" s="13"/>
      <c r="D53" s="13"/>
      <c r="E53" s="13"/>
      <c r="F53" s="13"/>
      <c r="G53" s="414"/>
      <c r="H53" s="414"/>
      <c r="M53" s="804" t="s">
        <v>12</v>
      </c>
      <c r="N53" s="804"/>
      <c r="O53" s="804"/>
      <c r="P53" s="804"/>
    </row>
    <row r="54" spans="1:17" ht="12.75" customHeight="1">
      <c r="A54" s="803" t="s">
        <v>906</v>
      </c>
      <c r="B54" s="803"/>
      <c r="C54" s="803"/>
      <c r="D54" s="803"/>
      <c r="E54" s="375"/>
      <c r="F54" s="375"/>
      <c r="G54" s="414"/>
      <c r="H54" s="414"/>
      <c r="M54" s="804" t="s">
        <v>13</v>
      </c>
      <c r="N54" s="804"/>
      <c r="O54" s="804"/>
      <c r="P54" s="804"/>
    </row>
    <row r="55" spans="1:17" ht="15.75">
      <c r="A55" s="804" t="s">
        <v>907</v>
      </c>
      <c r="B55" s="804"/>
      <c r="C55" s="804"/>
      <c r="D55" s="804"/>
      <c r="E55" s="375"/>
      <c r="F55" s="375"/>
      <c r="G55" s="414"/>
      <c r="H55" s="414"/>
      <c r="M55" s="804" t="s">
        <v>18</v>
      </c>
      <c r="N55" s="804"/>
      <c r="O55" s="804"/>
      <c r="P55" s="804"/>
    </row>
    <row r="56" spans="1:17">
      <c r="A56" s="804" t="s">
        <v>908</v>
      </c>
      <c r="B56" s="804"/>
      <c r="C56" s="804"/>
      <c r="D56" s="804"/>
      <c r="E56"/>
      <c r="F56"/>
      <c r="G56" s="414"/>
      <c r="H56" s="414"/>
      <c r="M56" s="414"/>
      <c r="N56" s="14"/>
      <c r="O56" s="33" t="s">
        <v>84</v>
      </c>
      <c r="P56" s="33"/>
    </row>
    <row r="57" spans="1:17">
      <c r="A57" s="413"/>
      <c r="B57" s="413"/>
      <c r="C57" s="413"/>
      <c r="D57" s="413"/>
      <c r="E57" s="413"/>
      <c r="F57" s="413"/>
      <c r="G57" s="414"/>
      <c r="H57" s="414"/>
      <c r="M57" s="414"/>
      <c r="N57" s="414"/>
      <c r="O57" s="414"/>
      <c r="P57" s="414"/>
    </row>
    <row r="58" spans="1:17" ht="15.75">
      <c r="A58" s="13" t="s">
        <v>11</v>
      </c>
      <c r="B58" s="414"/>
      <c r="C58" s="414"/>
      <c r="D58" s="414"/>
      <c r="E58" s="414"/>
      <c r="F58" s="414"/>
      <c r="G58" s="414"/>
      <c r="H58" s="414"/>
      <c r="M58" s="414"/>
      <c r="N58" s="414"/>
      <c r="O58" s="414"/>
      <c r="P58" s="414"/>
    </row>
  </sheetData>
  <mergeCells count="20">
    <mergeCell ref="M53:P53"/>
    <mergeCell ref="A11:A12"/>
    <mergeCell ref="B11:B12"/>
    <mergeCell ref="I11:K11"/>
    <mergeCell ref="O11:Q11"/>
    <mergeCell ref="L11:N11"/>
    <mergeCell ref="C11:E11"/>
    <mergeCell ref="F11:H11"/>
    <mergeCell ref="A50:Q50"/>
    <mergeCell ref="P1:Q1"/>
    <mergeCell ref="A2:Q2"/>
    <mergeCell ref="A3:Q3"/>
    <mergeCell ref="N10:Q10"/>
    <mergeCell ref="A6:Q6"/>
    <mergeCell ref="A9:B9"/>
    <mergeCell ref="A54:D54"/>
    <mergeCell ref="M54:P54"/>
    <mergeCell ref="A55:D55"/>
    <mergeCell ref="M55:P55"/>
    <mergeCell ref="A56:D56"/>
  </mergeCells>
  <phoneticPr fontId="0" type="noConversion"/>
  <printOptions horizontalCentered="1"/>
  <pageMargins left="0.70866141732283472" right="0.70866141732283472" top="0.23622047244094491" bottom="0" header="0.31496062992125984" footer="0.31496062992125984"/>
  <pageSetup paperSize="9" scale="73" orientation="landscape" r:id="rId1"/>
</worksheet>
</file>

<file path=xl/worksheets/sheet25.xml><?xml version="1.0" encoding="utf-8"?>
<worksheet xmlns="http://schemas.openxmlformats.org/spreadsheetml/2006/main" xmlns:r="http://schemas.openxmlformats.org/officeDocument/2006/relationships">
  <sheetPr codeName="Sheet25">
    <pageSetUpPr fitToPage="1"/>
  </sheetPr>
  <dimension ref="A1:U58"/>
  <sheetViews>
    <sheetView view="pageBreakPreview" topLeftCell="A31" zoomScale="90" zoomScaleSheetLayoutView="90" workbookViewId="0">
      <selection activeCell="C34" sqref="C34:Q34"/>
    </sheetView>
  </sheetViews>
  <sheetFormatPr defaultRowHeight="12.75"/>
  <cols>
    <col min="1" max="1" width="7.42578125" style="15" customWidth="1"/>
    <col min="2" max="2" width="18" style="15" customWidth="1"/>
    <col min="3" max="3" width="9.42578125" style="15" bestFit="1" customWidth="1"/>
    <col min="4" max="4" width="9.42578125" style="15" customWidth="1"/>
    <col min="5" max="5" width="9.42578125" style="15" bestFit="1" customWidth="1"/>
    <col min="6" max="8" width="7.140625" style="15" bestFit="1" customWidth="1"/>
    <col min="9" max="12" width="9.42578125" style="15" bestFit="1" customWidth="1"/>
    <col min="13" max="13" width="8.28515625" style="15" bestFit="1" customWidth="1"/>
    <col min="14" max="14" width="9.42578125" style="15" bestFit="1" customWidth="1"/>
    <col min="15" max="15" width="10.5703125" style="15" bestFit="1" customWidth="1"/>
    <col min="16" max="16" width="9.5703125" style="15" bestFit="1" customWidth="1"/>
    <col min="17" max="17" width="11.5703125" style="15" bestFit="1" customWidth="1"/>
    <col min="18" max="16384" width="9.140625" style="15"/>
  </cols>
  <sheetData>
    <row r="1" spans="1:21" customFormat="1" ht="15">
      <c r="H1" s="33"/>
      <c r="I1" s="33"/>
      <c r="J1" s="33"/>
      <c r="K1" s="33"/>
      <c r="L1" s="33"/>
      <c r="M1" s="33"/>
      <c r="N1" s="33"/>
      <c r="O1" s="33"/>
      <c r="P1" s="919" t="s">
        <v>93</v>
      </c>
      <c r="Q1" s="919"/>
      <c r="R1" s="959"/>
      <c r="S1" s="15"/>
      <c r="T1" s="40"/>
      <c r="U1" s="40"/>
    </row>
    <row r="2" spans="1:21" customFormat="1" ht="15">
      <c r="A2" s="920" t="s">
        <v>0</v>
      </c>
      <c r="B2" s="920"/>
      <c r="C2" s="920"/>
      <c r="D2" s="920"/>
      <c r="E2" s="920"/>
      <c r="F2" s="920"/>
      <c r="G2" s="920"/>
      <c r="H2" s="920"/>
      <c r="I2" s="920"/>
      <c r="J2" s="920"/>
      <c r="K2" s="920"/>
      <c r="L2" s="920"/>
      <c r="M2" s="920"/>
      <c r="N2" s="920"/>
      <c r="O2" s="920"/>
      <c r="P2" s="920"/>
      <c r="Q2" s="920"/>
      <c r="R2" s="959"/>
      <c r="S2" s="42"/>
      <c r="T2" s="42"/>
      <c r="U2" s="42"/>
    </row>
    <row r="3" spans="1:21" customFormat="1" ht="20.25">
      <c r="A3" s="848" t="s">
        <v>745</v>
      </c>
      <c r="B3" s="848"/>
      <c r="C3" s="848"/>
      <c r="D3" s="848"/>
      <c r="E3" s="848"/>
      <c r="F3" s="848"/>
      <c r="G3" s="848"/>
      <c r="H3" s="848"/>
      <c r="I3" s="848"/>
      <c r="J3" s="848"/>
      <c r="K3" s="848"/>
      <c r="L3" s="848"/>
      <c r="M3" s="848"/>
      <c r="N3" s="848"/>
      <c r="O3" s="848"/>
      <c r="P3" s="848"/>
      <c r="Q3" s="848"/>
      <c r="R3" s="959"/>
      <c r="S3" s="41"/>
      <c r="T3" s="41"/>
      <c r="U3" s="41"/>
    </row>
    <row r="4" spans="1:21" customFormat="1" ht="10.5" customHeight="1">
      <c r="R4" s="959"/>
    </row>
    <row r="5" spans="1:21" ht="9" customHeight="1">
      <c r="A5" s="23"/>
      <c r="B5" s="23"/>
      <c r="C5" s="23"/>
      <c r="D5" s="23"/>
      <c r="E5" s="22"/>
      <c r="F5" s="22"/>
      <c r="G5" s="22"/>
      <c r="H5" s="22"/>
      <c r="I5" s="22"/>
      <c r="J5" s="22"/>
      <c r="K5" s="22"/>
      <c r="L5" s="22"/>
      <c r="M5" s="22"/>
      <c r="N5" s="23"/>
      <c r="O5" s="23"/>
      <c r="P5" s="22"/>
      <c r="Q5" s="20"/>
      <c r="R5" s="959"/>
    </row>
    <row r="6" spans="1:21" ht="18.600000000000001" customHeight="1">
      <c r="B6" s="113"/>
      <c r="C6" s="113"/>
      <c r="D6" s="849" t="s">
        <v>815</v>
      </c>
      <c r="E6" s="849"/>
      <c r="F6" s="849"/>
      <c r="G6" s="849"/>
      <c r="H6" s="849"/>
      <c r="I6" s="849"/>
      <c r="J6" s="849"/>
      <c r="K6" s="849"/>
      <c r="L6" s="849"/>
      <c r="M6" s="849"/>
      <c r="N6" s="849"/>
      <c r="O6" s="849"/>
      <c r="R6" s="959"/>
    </row>
    <row r="7" spans="1:21" ht="5.45" customHeight="1">
      <c r="R7" s="959"/>
    </row>
    <row r="8" spans="1:21">
      <c r="A8" s="850" t="s">
        <v>948</v>
      </c>
      <c r="B8" s="850"/>
      <c r="Q8" s="30" t="s">
        <v>23</v>
      </c>
      <c r="R8" s="959"/>
    </row>
    <row r="9" spans="1:21" ht="15.75">
      <c r="A9" s="13"/>
      <c r="N9" s="914" t="s">
        <v>831</v>
      </c>
      <c r="O9" s="914"/>
      <c r="P9" s="914"/>
      <c r="Q9" s="914"/>
      <c r="R9" s="959"/>
      <c r="S9" s="20"/>
    </row>
    <row r="10" spans="1:21" ht="37.15" customHeight="1">
      <c r="A10" s="917" t="s">
        <v>2</v>
      </c>
      <c r="B10" s="917" t="s">
        <v>3</v>
      </c>
      <c r="C10" s="834" t="s">
        <v>854</v>
      </c>
      <c r="D10" s="834"/>
      <c r="E10" s="834"/>
      <c r="F10" s="834" t="s">
        <v>826</v>
      </c>
      <c r="G10" s="834"/>
      <c r="H10" s="834"/>
      <c r="I10" s="952" t="s">
        <v>371</v>
      </c>
      <c r="J10" s="953"/>
      <c r="K10" s="954"/>
      <c r="L10" s="952" t="s">
        <v>94</v>
      </c>
      <c r="M10" s="953"/>
      <c r="N10" s="954"/>
      <c r="O10" s="955" t="s">
        <v>853</v>
      </c>
      <c r="P10" s="956"/>
      <c r="Q10" s="957"/>
      <c r="R10" s="959"/>
    </row>
    <row r="11" spans="1:21" ht="39.75" customHeight="1">
      <c r="A11" s="918"/>
      <c r="B11" s="918"/>
      <c r="C11" s="5" t="s">
        <v>113</v>
      </c>
      <c r="D11" s="5" t="s">
        <v>665</v>
      </c>
      <c r="E11" s="36" t="s">
        <v>17</v>
      </c>
      <c r="F11" s="5" t="s">
        <v>113</v>
      </c>
      <c r="G11" s="5" t="s">
        <v>666</v>
      </c>
      <c r="H11" s="36" t="s">
        <v>17</v>
      </c>
      <c r="I11" s="5" t="s">
        <v>113</v>
      </c>
      <c r="J11" s="5" t="s">
        <v>666</v>
      </c>
      <c r="K11" s="36" t="s">
        <v>17</v>
      </c>
      <c r="L11" s="5" t="s">
        <v>113</v>
      </c>
      <c r="M11" s="5" t="s">
        <v>666</v>
      </c>
      <c r="N11" s="36" t="s">
        <v>17</v>
      </c>
      <c r="O11" s="5" t="s">
        <v>230</v>
      </c>
      <c r="P11" s="5" t="s">
        <v>667</v>
      </c>
      <c r="Q11" s="5" t="s">
        <v>114</v>
      </c>
    </row>
    <row r="12" spans="1:21" s="68" customFormat="1">
      <c r="A12" s="65">
        <v>1</v>
      </c>
      <c r="B12" s="65">
        <v>2</v>
      </c>
      <c r="C12" s="65">
        <v>3</v>
      </c>
      <c r="D12" s="65">
        <v>4</v>
      </c>
      <c r="E12" s="65">
        <v>5</v>
      </c>
      <c r="F12" s="65">
        <v>6</v>
      </c>
      <c r="G12" s="65">
        <v>7</v>
      </c>
      <c r="H12" s="65">
        <v>8</v>
      </c>
      <c r="I12" s="65">
        <v>9</v>
      </c>
      <c r="J12" s="65">
        <v>10</v>
      </c>
      <c r="K12" s="65">
        <v>11</v>
      </c>
      <c r="L12" s="65">
        <v>12</v>
      </c>
      <c r="M12" s="65">
        <v>13</v>
      </c>
      <c r="N12" s="65">
        <v>14</v>
      </c>
      <c r="O12" s="65">
        <v>15</v>
      </c>
      <c r="P12" s="65">
        <v>16</v>
      </c>
      <c r="Q12" s="65">
        <v>17</v>
      </c>
    </row>
    <row r="13" spans="1:21">
      <c r="A13" s="539">
        <v>1</v>
      </c>
      <c r="B13" s="537" t="s">
        <v>912</v>
      </c>
      <c r="C13" s="567">
        <f>F13+I13</f>
        <v>332.14998905065363</v>
      </c>
      <c r="D13" s="567">
        <f>G13+J13</f>
        <v>214.71509846250041</v>
      </c>
      <c r="E13" s="567">
        <f>C13+D13</f>
        <v>546.86508751315409</v>
      </c>
      <c r="F13" s="567">
        <v>12.754413045598199</v>
      </c>
      <c r="G13" s="567">
        <v>6.6682817958337068</v>
      </c>
      <c r="H13" s="567">
        <f>F13+G13</f>
        <v>19.422694841431905</v>
      </c>
      <c r="I13" s="567">
        <v>319.39557600505543</v>
      </c>
      <c r="J13" s="567">
        <v>208.0468166666667</v>
      </c>
      <c r="K13" s="567">
        <f>I13+J13</f>
        <v>527.44239267172213</v>
      </c>
      <c r="L13" s="567">
        <v>241.36971690000001</v>
      </c>
      <c r="M13" s="567">
        <v>160.51385640000001</v>
      </c>
      <c r="N13" s="567">
        <f>L13+M13</f>
        <v>401.88357330000002</v>
      </c>
      <c r="O13" s="567">
        <f>F13+I13-L13</f>
        <v>90.780272150653616</v>
      </c>
      <c r="P13" s="567">
        <f>G13+J13-M13</f>
        <v>54.201242062500398</v>
      </c>
      <c r="Q13" s="567">
        <f>O13+P13</f>
        <v>144.98151421315401</v>
      </c>
    </row>
    <row r="14" spans="1:21">
      <c r="A14" s="539">
        <v>2</v>
      </c>
      <c r="B14" s="537" t="s">
        <v>913</v>
      </c>
      <c r="C14" s="567">
        <f t="shared" ref="C14:C46" si="0">F14+I14</f>
        <v>466.10938148950157</v>
      </c>
      <c r="D14" s="567">
        <f t="shared" ref="D14:D46" si="1">G14+J14</f>
        <v>306.25377282766789</v>
      </c>
      <c r="E14" s="567">
        <f t="shared" ref="E14:E46" si="2">C14+D14</f>
        <v>772.36315431716946</v>
      </c>
      <c r="F14" s="567">
        <v>7.5747216830455386</v>
      </c>
      <c r="G14" s="567">
        <v>3.2775061610011562</v>
      </c>
      <c r="H14" s="567">
        <f t="shared" ref="H14:H46" si="3">F14+G14</f>
        <v>10.852227844046695</v>
      </c>
      <c r="I14" s="567">
        <v>458.53465980645603</v>
      </c>
      <c r="J14" s="567">
        <v>302.97626666666673</v>
      </c>
      <c r="K14" s="567">
        <f t="shared" ref="K14:K46" si="4">I14+J14</f>
        <v>761.51092647312271</v>
      </c>
      <c r="L14" s="567">
        <v>365.39651330000004</v>
      </c>
      <c r="M14" s="567">
        <v>242.9932148</v>
      </c>
      <c r="N14" s="567">
        <f t="shared" ref="N14:N46" si="5">L14+M14</f>
        <v>608.38972810000007</v>
      </c>
      <c r="O14" s="567">
        <f t="shared" ref="O14:O46" si="6">F14+I14-L14</f>
        <v>100.71286818950153</v>
      </c>
      <c r="P14" s="567">
        <f t="shared" ref="P14:P46" si="7">G14+J14-M14</f>
        <v>63.260558027667884</v>
      </c>
      <c r="Q14" s="567">
        <f t="shared" ref="Q14:Q46" si="8">O14+P14</f>
        <v>163.97342621716942</v>
      </c>
    </row>
    <row r="15" spans="1:21">
      <c r="A15" s="539">
        <v>3</v>
      </c>
      <c r="B15" s="537" t="s">
        <v>914</v>
      </c>
      <c r="C15" s="567">
        <f t="shared" si="0"/>
        <v>522.02946510231186</v>
      </c>
      <c r="D15" s="567">
        <f t="shared" si="1"/>
        <v>372.86736721037403</v>
      </c>
      <c r="E15" s="567">
        <f t="shared" si="2"/>
        <v>894.89683231268589</v>
      </c>
      <c r="F15" s="567">
        <v>19.228857860025528</v>
      </c>
      <c r="G15" s="567">
        <v>5.7320258770406554</v>
      </c>
      <c r="H15" s="567">
        <f t="shared" si="3"/>
        <v>24.960883737066183</v>
      </c>
      <c r="I15" s="567">
        <v>502.80060724228633</v>
      </c>
      <c r="J15" s="567">
        <v>367.13534133333337</v>
      </c>
      <c r="K15" s="567">
        <f t="shared" si="4"/>
        <v>869.9359485756197</v>
      </c>
      <c r="L15" s="567">
        <v>351.90641069999998</v>
      </c>
      <c r="M15" s="567">
        <v>234.02212920000002</v>
      </c>
      <c r="N15" s="567">
        <f t="shared" si="5"/>
        <v>585.92853990000003</v>
      </c>
      <c r="O15" s="567">
        <f t="shared" si="6"/>
        <v>170.12305440231188</v>
      </c>
      <c r="P15" s="567">
        <f t="shared" si="7"/>
        <v>138.845238010374</v>
      </c>
      <c r="Q15" s="567">
        <f t="shared" si="8"/>
        <v>308.96829241268586</v>
      </c>
    </row>
    <row r="16" spans="1:21" ht="13.5" customHeight="1">
      <c r="A16" s="539">
        <v>4</v>
      </c>
      <c r="B16" s="537" t="s">
        <v>915</v>
      </c>
      <c r="C16" s="567">
        <f t="shared" si="0"/>
        <v>397.47870566337804</v>
      </c>
      <c r="D16" s="567">
        <f t="shared" si="1"/>
        <v>286.9893779777546</v>
      </c>
      <c r="E16" s="567">
        <f t="shared" si="2"/>
        <v>684.46808364113258</v>
      </c>
      <c r="F16" s="567">
        <v>2.1955184866778268</v>
      </c>
      <c r="G16" s="567">
        <v>9.8103779777545128</v>
      </c>
      <c r="H16" s="567">
        <f t="shared" si="3"/>
        <v>12.00589646443234</v>
      </c>
      <c r="I16" s="567">
        <v>395.28318717670021</v>
      </c>
      <c r="J16" s="567">
        <v>277.17900000000009</v>
      </c>
      <c r="K16" s="567">
        <f t="shared" si="4"/>
        <v>672.46218717670035</v>
      </c>
      <c r="L16" s="567">
        <v>282.79138680000005</v>
      </c>
      <c r="M16" s="567">
        <v>188.05978080000003</v>
      </c>
      <c r="N16" s="567">
        <f t="shared" si="5"/>
        <v>470.85116760000005</v>
      </c>
      <c r="O16" s="567">
        <f t="shared" si="6"/>
        <v>114.68731886337798</v>
      </c>
      <c r="P16" s="567">
        <f t="shared" si="7"/>
        <v>98.929597177754573</v>
      </c>
      <c r="Q16" s="567">
        <f t="shared" si="8"/>
        <v>213.61691604113255</v>
      </c>
    </row>
    <row r="17" spans="1:17" s="414" customFormat="1" ht="13.5" customHeight="1">
      <c r="A17" s="539">
        <v>5</v>
      </c>
      <c r="B17" s="537" t="s">
        <v>916</v>
      </c>
      <c r="C17" s="567">
        <f t="shared" si="0"/>
        <v>458.64225323344186</v>
      </c>
      <c r="D17" s="567">
        <f t="shared" si="1"/>
        <v>290.28594210495982</v>
      </c>
      <c r="E17" s="567">
        <f t="shared" si="2"/>
        <v>748.92819533840168</v>
      </c>
      <c r="F17" s="567">
        <v>33.314398603122925</v>
      </c>
      <c r="G17" s="567">
        <v>8.8997781049598075</v>
      </c>
      <c r="H17" s="567">
        <f t="shared" si="3"/>
        <v>42.214176708082732</v>
      </c>
      <c r="I17" s="567">
        <v>425.32785463031894</v>
      </c>
      <c r="J17" s="567">
        <v>281.38616400000001</v>
      </c>
      <c r="K17" s="567">
        <f t="shared" si="4"/>
        <v>706.71401863031895</v>
      </c>
      <c r="L17" s="567">
        <v>280.86279000000002</v>
      </c>
      <c r="M17" s="567">
        <v>186.77724000000001</v>
      </c>
      <c r="N17" s="567">
        <f t="shared" si="5"/>
        <v>467.64003000000002</v>
      </c>
      <c r="O17" s="567">
        <f t="shared" si="6"/>
        <v>177.77946323344185</v>
      </c>
      <c r="P17" s="567">
        <f t="shared" si="7"/>
        <v>103.50870210495981</v>
      </c>
      <c r="Q17" s="567">
        <f t="shared" si="8"/>
        <v>281.28816533840165</v>
      </c>
    </row>
    <row r="18" spans="1:17" s="414" customFormat="1" ht="13.5" customHeight="1">
      <c r="A18" s="539">
        <v>6</v>
      </c>
      <c r="B18" s="537" t="s">
        <v>917</v>
      </c>
      <c r="C18" s="567">
        <f t="shared" si="0"/>
        <v>199.94471755841136</v>
      </c>
      <c r="D18" s="567">
        <f t="shared" si="1"/>
        <v>137.61102918627441</v>
      </c>
      <c r="E18" s="567">
        <f t="shared" si="2"/>
        <v>337.55574674468573</v>
      </c>
      <c r="F18" s="567">
        <v>8.4568518737338536</v>
      </c>
      <c r="G18" s="567">
        <v>2.284376519607747</v>
      </c>
      <c r="H18" s="567">
        <f t="shared" si="3"/>
        <v>10.741228393341601</v>
      </c>
      <c r="I18" s="567">
        <v>191.4878656846775</v>
      </c>
      <c r="J18" s="567">
        <v>135.32665266666666</v>
      </c>
      <c r="K18" s="567">
        <f t="shared" si="4"/>
        <v>326.81451835134419</v>
      </c>
      <c r="L18" s="567">
        <v>149.76024050000001</v>
      </c>
      <c r="M18" s="567">
        <v>99.592418000000009</v>
      </c>
      <c r="N18" s="567">
        <f t="shared" si="5"/>
        <v>249.35265850000002</v>
      </c>
      <c r="O18" s="567">
        <f t="shared" si="6"/>
        <v>50.184477058411346</v>
      </c>
      <c r="P18" s="567">
        <f t="shared" si="7"/>
        <v>38.018611186274399</v>
      </c>
      <c r="Q18" s="567">
        <f t="shared" si="8"/>
        <v>88.203088244685745</v>
      </c>
    </row>
    <row r="19" spans="1:17" s="414" customFormat="1" ht="13.5" customHeight="1">
      <c r="A19" s="539">
        <v>7</v>
      </c>
      <c r="B19" s="537" t="s">
        <v>918</v>
      </c>
      <c r="C19" s="567">
        <f t="shared" si="0"/>
        <v>222.29978371414845</v>
      </c>
      <c r="D19" s="567">
        <f t="shared" si="1"/>
        <v>154.82917665643575</v>
      </c>
      <c r="E19" s="567">
        <f t="shared" si="2"/>
        <v>377.1289603705842</v>
      </c>
      <c r="F19" s="567">
        <v>10.432713229721315</v>
      </c>
      <c r="G19" s="567">
        <v>7.1537393231023998</v>
      </c>
      <c r="H19" s="567">
        <f t="shared" si="3"/>
        <v>17.586452552823715</v>
      </c>
      <c r="I19" s="567">
        <v>211.86707048442713</v>
      </c>
      <c r="J19" s="567">
        <v>147.67543733333335</v>
      </c>
      <c r="K19" s="567">
        <f t="shared" si="4"/>
        <v>359.54250781776045</v>
      </c>
      <c r="L19" s="567">
        <v>134.01531260000002</v>
      </c>
      <c r="M19" s="567">
        <v>89.1218456</v>
      </c>
      <c r="N19" s="567">
        <f t="shared" si="5"/>
        <v>223.13715820000002</v>
      </c>
      <c r="O19" s="567">
        <f t="shared" si="6"/>
        <v>88.284471114148431</v>
      </c>
      <c r="P19" s="567">
        <f t="shared" si="7"/>
        <v>65.707331056435748</v>
      </c>
      <c r="Q19" s="567">
        <f t="shared" si="8"/>
        <v>153.99180217058418</v>
      </c>
    </row>
    <row r="20" spans="1:17" s="414" customFormat="1" ht="13.5" customHeight="1">
      <c r="A20" s="539">
        <v>8</v>
      </c>
      <c r="B20" s="537" t="s">
        <v>919</v>
      </c>
      <c r="C20" s="567">
        <f t="shared" si="0"/>
        <v>322.14693869808849</v>
      </c>
      <c r="D20" s="567">
        <f t="shared" si="1"/>
        <v>218.73559793139739</v>
      </c>
      <c r="E20" s="567">
        <f t="shared" si="2"/>
        <v>540.88253662948591</v>
      </c>
      <c r="F20" s="567">
        <v>2.7624481480752365</v>
      </c>
      <c r="G20" s="567">
        <v>2.1038192647307312</v>
      </c>
      <c r="H20" s="567">
        <f t="shared" si="3"/>
        <v>4.8662674128059678</v>
      </c>
      <c r="I20" s="567">
        <v>319.38449055001325</v>
      </c>
      <c r="J20" s="567">
        <v>216.63177866666666</v>
      </c>
      <c r="K20" s="567">
        <f t="shared" si="4"/>
        <v>536.01626921667992</v>
      </c>
      <c r="L20" s="567">
        <v>235.04709020000004</v>
      </c>
      <c r="M20" s="567">
        <v>156.3092312</v>
      </c>
      <c r="N20" s="567">
        <f t="shared" si="5"/>
        <v>391.35632140000007</v>
      </c>
      <c r="O20" s="567">
        <f t="shared" si="6"/>
        <v>87.099848498088448</v>
      </c>
      <c r="P20" s="567">
        <f t="shared" si="7"/>
        <v>62.426366731397394</v>
      </c>
      <c r="Q20" s="567">
        <f t="shared" si="8"/>
        <v>149.52621522948584</v>
      </c>
    </row>
    <row r="21" spans="1:17" s="414" customFormat="1" ht="13.5" customHeight="1">
      <c r="A21" s="539">
        <v>9</v>
      </c>
      <c r="B21" s="537" t="s">
        <v>920</v>
      </c>
      <c r="C21" s="567">
        <f t="shared" si="0"/>
        <v>291.11409860838427</v>
      </c>
      <c r="D21" s="567">
        <f t="shared" si="1"/>
        <v>212.33165868984193</v>
      </c>
      <c r="E21" s="567">
        <f t="shared" si="2"/>
        <v>503.44575729822623</v>
      </c>
      <c r="F21" s="567">
        <v>15.994837989020652</v>
      </c>
      <c r="G21" s="567">
        <v>25.734648023175282</v>
      </c>
      <c r="H21" s="567">
        <f t="shared" si="3"/>
        <v>41.729486012195935</v>
      </c>
      <c r="I21" s="567">
        <v>275.11926061936362</v>
      </c>
      <c r="J21" s="567">
        <v>186.59701066666665</v>
      </c>
      <c r="K21" s="567">
        <f t="shared" si="4"/>
        <v>461.71627128603029</v>
      </c>
      <c r="L21" s="567">
        <v>194.7441886</v>
      </c>
      <c r="M21" s="567">
        <v>129.50730160000001</v>
      </c>
      <c r="N21" s="567">
        <f t="shared" si="5"/>
        <v>324.25149020000003</v>
      </c>
      <c r="O21" s="567">
        <f t="shared" si="6"/>
        <v>96.369910008384267</v>
      </c>
      <c r="P21" s="567">
        <f t="shared" si="7"/>
        <v>82.824357089841925</v>
      </c>
      <c r="Q21" s="567">
        <f t="shared" si="8"/>
        <v>179.19426709822619</v>
      </c>
    </row>
    <row r="22" spans="1:17" s="414" customFormat="1" ht="13.5" customHeight="1">
      <c r="A22" s="539">
        <v>10</v>
      </c>
      <c r="B22" s="537" t="s">
        <v>921</v>
      </c>
      <c r="C22" s="567">
        <f t="shared" si="0"/>
        <v>395.78435263092371</v>
      </c>
      <c r="D22" s="567">
        <f t="shared" si="1"/>
        <v>289.21576207119125</v>
      </c>
      <c r="E22" s="567">
        <f t="shared" si="2"/>
        <v>685.00011470211496</v>
      </c>
      <c r="F22" s="567">
        <v>8.4058463139483024</v>
      </c>
      <c r="G22" s="567">
        <v>4.2932087378578672</v>
      </c>
      <c r="H22" s="567">
        <f t="shared" si="3"/>
        <v>12.69905505180617</v>
      </c>
      <c r="I22" s="567">
        <v>387.3785063169754</v>
      </c>
      <c r="J22" s="567">
        <v>284.92255333333338</v>
      </c>
      <c r="K22" s="567">
        <f t="shared" si="4"/>
        <v>672.30105965030884</v>
      </c>
      <c r="L22" s="567">
        <v>284.63208930000002</v>
      </c>
      <c r="M22" s="567">
        <v>189.28387080000002</v>
      </c>
      <c r="N22" s="567">
        <f t="shared" si="5"/>
        <v>473.91596010000001</v>
      </c>
      <c r="O22" s="567">
        <f t="shared" si="6"/>
        <v>111.15226333092369</v>
      </c>
      <c r="P22" s="567">
        <f t="shared" si="7"/>
        <v>99.931891271191233</v>
      </c>
      <c r="Q22" s="567">
        <f t="shared" si="8"/>
        <v>211.08415460211492</v>
      </c>
    </row>
    <row r="23" spans="1:17" s="414" customFormat="1" ht="13.5" customHeight="1">
      <c r="A23" s="539">
        <v>11</v>
      </c>
      <c r="B23" s="537" t="s">
        <v>922</v>
      </c>
      <c r="C23" s="567">
        <f t="shared" si="0"/>
        <v>300.89369125920371</v>
      </c>
      <c r="D23" s="567">
        <f t="shared" si="1"/>
        <v>198.60402180055621</v>
      </c>
      <c r="E23" s="567">
        <f t="shared" si="2"/>
        <v>499.49771305975992</v>
      </c>
      <c r="F23" s="567">
        <v>47.909502814687897</v>
      </c>
      <c r="G23" s="567">
        <v>37.617728467222889</v>
      </c>
      <c r="H23" s="567">
        <f t="shared" si="3"/>
        <v>85.527231281910787</v>
      </c>
      <c r="I23" s="567">
        <v>252.98418844451578</v>
      </c>
      <c r="J23" s="567">
        <v>160.98629333333332</v>
      </c>
      <c r="K23" s="567">
        <f t="shared" si="4"/>
        <v>413.9704817778491</v>
      </c>
      <c r="L23" s="567">
        <v>174.88241420000003</v>
      </c>
      <c r="M23" s="567">
        <v>116.29897520000002</v>
      </c>
      <c r="N23" s="567">
        <f t="shared" si="5"/>
        <v>291.18138940000006</v>
      </c>
      <c r="O23" s="567">
        <f t="shared" si="6"/>
        <v>126.01127705920368</v>
      </c>
      <c r="P23" s="567">
        <f t="shared" si="7"/>
        <v>82.305046600556196</v>
      </c>
      <c r="Q23" s="567">
        <f t="shared" si="8"/>
        <v>208.31632365975986</v>
      </c>
    </row>
    <row r="24" spans="1:17" s="414" customFormat="1" ht="13.5" customHeight="1">
      <c r="A24" s="539">
        <v>12</v>
      </c>
      <c r="B24" s="537" t="s">
        <v>923</v>
      </c>
      <c r="C24" s="567">
        <f t="shared" si="0"/>
        <v>670.99562917628123</v>
      </c>
      <c r="D24" s="567">
        <f t="shared" si="1"/>
        <v>463.15810604811838</v>
      </c>
      <c r="E24" s="567">
        <f t="shared" si="2"/>
        <v>1134.1537352243995</v>
      </c>
      <c r="F24" s="567">
        <v>33.75108808684638</v>
      </c>
      <c r="G24" s="567">
        <v>16.189204714785035</v>
      </c>
      <c r="H24" s="567">
        <f t="shared" si="3"/>
        <v>49.940292801631415</v>
      </c>
      <c r="I24" s="567">
        <v>637.24454108943485</v>
      </c>
      <c r="J24" s="567">
        <v>446.96890133333335</v>
      </c>
      <c r="K24" s="567">
        <f t="shared" si="4"/>
        <v>1084.2134424227681</v>
      </c>
      <c r="L24" s="567">
        <v>448.62850630000003</v>
      </c>
      <c r="M24" s="567">
        <v>298.34352280000002</v>
      </c>
      <c r="N24" s="567">
        <f t="shared" si="5"/>
        <v>746.9720291000001</v>
      </c>
      <c r="O24" s="567">
        <f t="shared" si="6"/>
        <v>222.3671228762812</v>
      </c>
      <c r="P24" s="567">
        <f t="shared" si="7"/>
        <v>164.81458324811837</v>
      </c>
      <c r="Q24" s="567">
        <f t="shared" si="8"/>
        <v>387.18170612439957</v>
      </c>
    </row>
    <row r="25" spans="1:17" s="414" customFormat="1" ht="13.5" customHeight="1">
      <c r="A25" s="539">
        <v>13</v>
      </c>
      <c r="B25" s="537" t="s">
        <v>924</v>
      </c>
      <c r="C25" s="567">
        <f t="shared" si="0"/>
        <v>350.30888664494466</v>
      </c>
      <c r="D25" s="567">
        <f t="shared" si="1"/>
        <v>245.01807027881225</v>
      </c>
      <c r="E25" s="567">
        <f t="shared" si="2"/>
        <v>595.32695692375694</v>
      </c>
      <c r="F25" s="567">
        <v>24.593771220487099</v>
      </c>
      <c r="G25" s="567">
        <v>24.091800945478923</v>
      </c>
      <c r="H25" s="567">
        <f t="shared" si="3"/>
        <v>48.685572165966022</v>
      </c>
      <c r="I25" s="567">
        <v>325.71511542445757</v>
      </c>
      <c r="J25" s="567">
        <v>220.92626933333332</v>
      </c>
      <c r="K25" s="567">
        <f t="shared" si="4"/>
        <v>546.64138475779089</v>
      </c>
      <c r="L25" s="567">
        <v>225.85457960000002</v>
      </c>
      <c r="M25" s="567">
        <v>150.19609760000003</v>
      </c>
      <c r="N25" s="567">
        <f t="shared" si="5"/>
        <v>376.05067720000005</v>
      </c>
      <c r="O25" s="567">
        <f t="shared" si="6"/>
        <v>124.45430704494464</v>
      </c>
      <c r="P25" s="567">
        <f t="shared" si="7"/>
        <v>94.821972678812216</v>
      </c>
      <c r="Q25" s="567">
        <f t="shared" si="8"/>
        <v>219.27627972375686</v>
      </c>
    </row>
    <row r="26" spans="1:17" s="414" customFormat="1" ht="13.5" customHeight="1">
      <c r="A26" s="539">
        <v>14</v>
      </c>
      <c r="B26" s="537" t="s">
        <v>925</v>
      </c>
      <c r="C26" s="567">
        <f t="shared" si="0"/>
        <v>242.05978566597835</v>
      </c>
      <c r="D26" s="567">
        <f t="shared" si="1"/>
        <v>168.83938305023088</v>
      </c>
      <c r="E26" s="567">
        <f t="shared" si="2"/>
        <v>410.89916871620926</v>
      </c>
      <c r="F26" s="567">
        <v>6.4060399460859401</v>
      </c>
      <c r="G26" s="567">
        <v>9.7927490502308245</v>
      </c>
      <c r="H26" s="567">
        <f t="shared" si="3"/>
        <v>16.198788996316765</v>
      </c>
      <c r="I26" s="567">
        <v>235.65374571989241</v>
      </c>
      <c r="J26" s="567">
        <v>159.04663400000004</v>
      </c>
      <c r="K26" s="567">
        <f t="shared" si="4"/>
        <v>394.70037971989245</v>
      </c>
      <c r="L26" s="567">
        <v>161.571969</v>
      </c>
      <c r="M26" s="567">
        <v>107.44736400000001</v>
      </c>
      <c r="N26" s="567">
        <f t="shared" si="5"/>
        <v>269.01933300000002</v>
      </c>
      <c r="O26" s="567">
        <f t="shared" si="6"/>
        <v>80.487816665978357</v>
      </c>
      <c r="P26" s="567">
        <f t="shared" si="7"/>
        <v>61.392019050230871</v>
      </c>
      <c r="Q26" s="567">
        <f t="shared" si="8"/>
        <v>141.87983571620924</v>
      </c>
    </row>
    <row r="27" spans="1:17" s="414" customFormat="1" ht="13.5" customHeight="1">
      <c r="A27" s="539">
        <v>15</v>
      </c>
      <c r="B27" s="537" t="s">
        <v>926</v>
      </c>
      <c r="C27" s="567">
        <f t="shared" si="0"/>
        <v>150.69448838966696</v>
      </c>
      <c r="D27" s="567">
        <f t="shared" si="1"/>
        <v>96.281580844264653</v>
      </c>
      <c r="E27" s="567">
        <f t="shared" si="2"/>
        <v>246.97606923393161</v>
      </c>
      <c r="F27" s="567">
        <v>60.57031486690299</v>
      </c>
      <c r="G27" s="567">
        <v>32.113422177597982</v>
      </c>
      <c r="H27" s="567">
        <f t="shared" si="3"/>
        <v>92.683737044500973</v>
      </c>
      <c r="I27" s="567">
        <v>90.124173522763968</v>
      </c>
      <c r="J27" s="567">
        <v>64.16815866666667</v>
      </c>
      <c r="K27" s="567">
        <f t="shared" si="4"/>
        <v>154.29233218943062</v>
      </c>
      <c r="L27" s="567">
        <v>62.265152300000004</v>
      </c>
      <c r="M27" s="567">
        <v>41.407098800000007</v>
      </c>
      <c r="N27" s="567">
        <f t="shared" si="5"/>
        <v>103.67225110000001</v>
      </c>
      <c r="O27" s="567">
        <f t="shared" si="6"/>
        <v>88.429336089666947</v>
      </c>
      <c r="P27" s="567">
        <f t="shared" si="7"/>
        <v>54.874482044264646</v>
      </c>
      <c r="Q27" s="567">
        <f t="shared" si="8"/>
        <v>143.3038181339316</v>
      </c>
    </row>
    <row r="28" spans="1:17" s="414" customFormat="1" ht="13.5" customHeight="1">
      <c r="A28" s="539">
        <v>16</v>
      </c>
      <c r="B28" s="537" t="s">
        <v>927</v>
      </c>
      <c r="C28" s="567">
        <f t="shared" si="0"/>
        <v>360.71884283809089</v>
      </c>
      <c r="D28" s="567">
        <f t="shared" si="1"/>
        <v>240.41541881552189</v>
      </c>
      <c r="E28" s="567">
        <f t="shared" si="2"/>
        <v>601.13426165361284</v>
      </c>
      <c r="F28" s="567">
        <v>14.45254006215805</v>
      </c>
      <c r="G28" s="567">
        <v>0.34038814885519741</v>
      </c>
      <c r="H28" s="567">
        <f t="shared" si="3"/>
        <v>14.792928211013248</v>
      </c>
      <c r="I28" s="567">
        <v>346.26630277593284</v>
      </c>
      <c r="J28" s="567">
        <v>240.07503066666669</v>
      </c>
      <c r="K28" s="567">
        <f t="shared" si="4"/>
        <v>586.34133344259953</v>
      </c>
      <c r="L28" s="567">
        <v>253.81085080000003</v>
      </c>
      <c r="M28" s="567">
        <v>168.78736480000001</v>
      </c>
      <c r="N28" s="567">
        <f t="shared" si="5"/>
        <v>422.5982156</v>
      </c>
      <c r="O28" s="567">
        <f t="shared" si="6"/>
        <v>106.90799203809087</v>
      </c>
      <c r="P28" s="567">
        <f t="shared" si="7"/>
        <v>71.628054015521883</v>
      </c>
      <c r="Q28" s="567">
        <f t="shared" si="8"/>
        <v>178.53604605361275</v>
      </c>
    </row>
    <row r="29" spans="1:17" s="414" customFormat="1" ht="13.5" customHeight="1">
      <c r="A29" s="539">
        <v>17</v>
      </c>
      <c r="B29" s="537" t="s">
        <v>928</v>
      </c>
      <c r="C29" s="567">
        <f t="shared" si="0"/>
        <v>240.35416939314598</v>
      </c>
      <c r="D29" s="567">
        <f t="shared" si="1"/>
        <v>182.82342975107372</v>
      </c>
      <c r="E29" s="567">
        <f t="shared" si="2"/>
        <v>423.1775991442197</v>
      </c>
      <c r="F29" s="567">
        <v>7.9309971381975686</v>
      </c>
      <c r="G29" s="567">
        <v>28.382564417740411</v>
      </c>
      <c r="H29" s="567">
        <f t="shared" si="3"/>
        <v>36.31356155593798</v>
      </c>
      <c r="I29" s="567">
        <v>232.42317225494841</v>
      </c>
      <c r="J29" s="567">
        <v>154.44086533333331</v>
      </c>
      <c r="K29" s="567">
        <f t="shared" si="4"/>
        <v>386.86403758828169</v>
      </c>
      <c r="L29" s="567">
        <v>146.35077989999999</v>
      </c>
      <c r="M29" s="567">
        <v>97.325084400000009</v>
      </c>
      <c r="N29" s="567">
        <f t="shared" si="5"/>
        <v>243.6758643</v>
      </c>
      <c r="O29" s="567">
        <f t="shared" si="6"/>
        <v>94.003389493145988</v>
      </c>
      <c r="P29" s="567">
        <f t="shared" si="7"/>
        <v>85.498345351073709</v>
      </c>
      <c r="Q29" s="567">
        <f t="shared" si="8"/>
        <v>179.5017348442197</v>
      </c>
    </row>
    <row r="30" spans="1:17" s="414" customFormat="1" ht="13.5" customHeight="1">
      <c r="A30" s="539">
        <v>18</v>
      </c>
      <c r="B30" s="537" t="s">
        <v>929</v>
      </c>
      <c r="C30" s="567">
        <f t="shared" si="0"/>
        <v>401.17980347207578</v>
      </c>
      <c r="D30" s="567">
        <f t="shared" si="1"/>
        <v>283.9383978996089</v>
      </c>
      <c r="E30" s="567">
        <f t="shared" si="2"/>
        <v>685.11820137168468</v>
      </c>
      <c r="F30" s="567">
        <v>5.8966162953755088</v>
      </c>
      <c r="G30" s="567">
        <v>3.4460645662754814</v>
      </c>
      <c r="H30" s="567">
        <f t="shared" si="3"/>
        <v>9.3426808616509902</v>
      </c>
      <c r="I30" s="567">
        <v>395.28318717670027</v>
      </c>
      <c r="J30" s="567">
        <v>280.49233333333342</v>
      </c>
      <c r="K30" s="567">
        <f t="shared" si="4"/>
        <v>675.77552051003363</v>
      </c>
      <c r="L30" s="567">
        <v>282.83861840000003</v>
      </c>
      <c r="M30" s="567">
        <v>188.09119040000002</v>
      </c>
      <c r="N30" s="567">
        <f t="shared" si="5"/>
        <v>470.92980880000005</v>
      </c>
      <c r="O30" s="567">
        <f t="shared" si="6"/>
        <v>118.34118507207575</v>
      </c>
      <c r="P30" s="567">
        <f t="shared" si="7"/>
        <v>95.847207499608885</v>
      </c>
      <c r="Q30" s="567">
        <f t="shared" si="8"/>
        <v>214.18839257168463</v>
      </c>
    </row>
    <row r="31" spans="1:17" s="414" customFormat="1" ht="13.5" customHeight="1">
      <c r="A31" s="539">
        <v>19</v>
      </c>
      <c r="B31" s="537" t="s">
        <v>930</v>
      </c>
      <c r="C31" s="567">
        <f t="shared" si="0"/>
        <v>222.88452999617803</v>
      </c>
      <c r="D31" s="567">
        <f t="shared" si="1"/>
        <v>161.04708942358621</v>
      </c>
      <c r="E31" s="567">
        <f t="shared" si="2"/>
        <v>383.93161941976427</v>
      </c>
      <c r="F31" s="567">
        <v>4.6868346373066174</v>
      </c>
      <c r="G31" s="567">
        <v>8.3938280902528675</v>
      </c>
      <c r="H31" s="567">
        <f t="shared" si="3"/>
        <v>13.080662727559485</v>
      </c>
      <c r="I31" s="567">
        <v>218.19769535887141</v>
      </c>
      <c r="J31" s="567">
        <v>152.65326133333335</v>
      </c>
      <c r="K31" s="567">
        <f t="shared" si="4"/>
        <v>370.85095669220476</v>
      </c>
      <c r="L31" s="567">
        <v>150.4685533</v>
      </c>
      <c r="M31" s="567">
        <v>100.0634548</v>
      </c>
      <c r="N31" s="567">
        <f t="shared" si="5"/>
        <v>250.53200809999998</v>
      </c>
      <c r="O31" s="567">
        <f t="shared" si="6"/>
        <v>72.415976696178035</v>
      </c>
      <c r="P31" s="567">
        <f t="shared" si="7"/>
        <v>60.983634623586212</v>
      </c>
      <c r="Q31" s="567">
        <f t="shared" si="8"/>
        <v>133.39961131976423</v>
      </c>
    </row>
    <row r="32" spans="1:17" s="414" customFormat="1" ht="13.5" customHeight="1">
      <c r="A32" s="539">
        <v>20</v>
      </c>
      <c r="B32" s="537" t="s">
        <v>931</v>
      </c>
      <c r="C32" s="567">
        <f t="shared" si="0"/>
        <v>539.83952292622712</v>
      </c>
      <c r="D32" s="567">
        <f t="shared" si="1"/>
        <v>351.12215195456145</v>
      </c>
      <c r="E32" s="567">
        <f t="shared" si="2"/>
        <v>890.96167488078856</v>
      </c>
      <c r="F32" s="567">
        <v>2.257337017342536</v>
      </c>
      <c r="G32" s="567">
        <v>1.4104452878947313</v>
      </c>
      <c r="H32" s="567">
        <f t="shared" si="3"/>
        <v>3.6677823052372673</v>
      </c>
      <c r="I32" s="567">
        <v>537.58218590888464</v>
      </c>
      <c r="J32" s="567">
        <v>349.71170666666671</v>
      </c>
      <c r="K32" s="567">
        <f t="shared" si="4"/>
        <v>887.29389257555135</v>
      </c>
      <c r="L32" s="567">
        <v>339.73415840000001</v>
      </c>
      <c r="M32" s="567">
        <v>225.92743040000002</v>
      </c>
      <c r="N32" s="567">
        <f t="shared" si="5"/>
        <v>565.6615888</v>
      </c>
      <c r="O32" s="567">
        <f t="shared" si="6"/>
        <v>200.10536452622711</v>
      </c>
      <c r="P32" s="567">
        <f t="shared" si="7"/>
        <v>125.19472155456143</v>
      </c>
      <c r="Q32" s="567">
        <f t="shared" si="8"/>
        <v>325.30008608078856</v>
      </c>
    </row>
    <row r="33" spans="1:17" s="414" customFormat="1" ht="13.5" customHeight="1">
      <c r="A33" s="539">
        <v>21</v>
      </c>
      <c r="B33" s="537" t="s">
        <v>932</v>
      </c>
      <c r="C33" s="567">
        <f t="shared" si="0"/>
        <v>179.07720780694365</v>
      </c>
      <c r="D33" s="567">
        <f t="shared" si="1"/>
        <v>123.50611308955764</v>
      </c>
      <c r="E33" s="567">
        <f t="shared" si="2"/>
        <v>302.58332089650128</v>
      </c>
      <c r="F33" s="567">
        <v>6.7384560401865201</v>
      </c>
      <c r="G33" s="567">
        <v>5.7962424228909697</v>
      </c>
      <c r="H33" s="567">
        <f t="shared" si="3"/>
        <v>12.53469846307749</v>
      </c>
      <c r="I33" s="567">
        <v>172.33875176675713</v>
      </c>
      <c r="J33" s="567">
        <v>117.70987066666667</v>
      </c>
      <c r="K33" s="567">
        <f t="shared" si="4"/>
        <v>290.04862243342382</v>
      </c>
      <c r="L33" s="567">
        <v>111.029724</v>
      </c>
      <c r="M33" s="567">
        <v>73.836144000000004</v>
      </c>
      <c r="N33" s="567">
        <f t="shared" si="5"/>
        <v>184.86586800000001</v>
      </c>
      <c r="O33" s="567">
        <f t="shared" si="6"/>
        <v>68.047483806943646</v>
      </c>
      <c r="P33" s="567">
        <f t="shared" si="7"/>
        <v>49.66996908955764</v>
      </c>
      <c r="Q33" s="567">
        <f t="shared" si="8"/>
        <v>117.71745289650129</v>
      </c>
    </row>
    <row r="34" spans="1:17" s="414" customFormat="1" ht="13.5" customHeight="1">
      <c r="A34" s="539">
        <v>22</v>
      </c>
      <c r="B34" s="537" t="s">
        <v>933</v>
      </c>
      <c r="C34" s="567">
        <f t="shared" si="0"/>
        <v>268.1324783939416</v>
      </c>
      <c r="D34" s="567">
        <f t="shared" si="1"/>
        <v>177.30971099182048</v>
      </c>
      <c r="E34" s="567">
        <f t="shared" si="2"/>
        <v>445.44218938576205</v>
      </c>
      <c r="F34" s="567">
        <v>8.8274939130735959</v>
      </c>
      <c r="G34" s="567">
        <v>8.0022603251537987</v>
      </c>
      <c r="H34" s="567">
        <f t="shared" si="3"/>
        <v>16.829754238227395</v>
      </c>
      <c r="I34" s="567">
        <v>259.30498448086803</v>
      </c>
      <c r="J34" s="567">
        <v>169.30745066666668</v>
      </c>
      <c r="K34" s="567">
        <f t="shared" si="4"/>
        <v>428.61243514753471</v>
      </c>
      <c r="L34" s="567">
        <v>173.01793470000001</v>
      </c>
      <c r="M34" s="567">
        <v>115.0590732</v>
      </c>
      <c r="N34" s="567">
        <f t="shared" si="5"/>
        <v>288.07700790000001</v>
      </c>
      <c r="O34" s="567">
        <f t="shared" si="6"/>
        <v>95.114543693941584</v>
      </c>
      <c r="P34" s="567">
        <f t="shared" si="7"/>
        <v>62.250637791820481</v>
      </c>
      <c r="Q34" s="567">
        <f t="shared" si="8"/>
        <v>157.36518148576206</v>
      </c>
    </row>
    <row r="35" spans="1:17">
      <c r="A35" s="539">
        <v>23</v>
      </c>
      <c r="B35" s="537" t="s">
        <v>934</v>
      </c>
      <c r="C35" s="567">
        <f t="shared" si="0"/>
        <v>549.0554043823123</v>
      </c>
      <c r="D35" s="567">
        <f t="shared" si="1"/>
        <v>348.4923292878799</v>
      </c>
      <c r="E35" s="567">
        <f t="shared" si="2"/>
        <v>897.5477336701922</v>
      </c>
      <c r="F35" s="567">
        <v>1.9846527903303013</v>
      </c>
      <c r="G35" s="567">
        <v>2.3688866212132211</v>
      </c>
      <c r="H35" s="567">
        <f t="shared" si="3"/>
        <v>4.3535394115435224</v>
      </c>
      <c r="I35" s="567">
        <v>547.070751591982</v>
      </c>
      <c r="J35" s="567">
        <v>346.12344266666668</v>
      </c>
      <c r="K35" s="567">
        <f t="shared" si="4"/>
        <v>893.19419425864862</v>
      </c>
      <c r="L35" s="567">
        <v>379.8184728</v>
      </c>
      <c r="M35" s="567">
        <v>252.58399679999999</v>
      </c>
      <c r="N35" s="567">
        <f t="shared" si="5"/>
        <v>632.40246960000002</v>
      </c>
      <c r="O35" s="567">
        <f t="shared" si="6"/>
        <v>169.23693158231231</v>
      </c>
      <c r="P35" s="567">
        <f t="shared" si="7"/>
        <v>95.908332487879903</v>
      </c>
      <c r="Q35" s="567">
        <f t="shared" si="8"/>
        <v>265.14526407019218</v>
      </c>
    </row>
    <row r="36" spans="1:17">
      <c r="A36" s="539">
        <v>24</v>
      </c>
      <c r="B36" s="537" t="s">
        <v>935</v>
      </c>
      <c r="C36" s="567">
        <f t="shared" si="0"/>
        <v>393.53629969384139</v>
      </c>
      <c r="D36" s="567">
        <f t="shared" si="1"/>
        <v>245.41097460850457</v>
      </c>
      <c r="E36" s="567">
        <f t="shared" si="2"/>
        <v>638.94727430234593</v>
      </c>
      <c r="F36" s="567">
        <v>14.067388655636762</v>
      </c>
      <c r="G36" s="567">
        <v>4.7915346085045485</v>
      </c>
      <c r="H36" s="567">
        <f t="shared" si="3"/>
        <v>18.85892326414131</v>
      </c>
      <c r="I36" s="567">
        <v>379.46891103820462</v>
      </c>
      <c r="J36" s="567">
        <v>240.61944000000003</v>
      </c>
      <c r="K36" s="567">
        <f t="shared" si="4"/>
        <v>620.08835103820468</v>
      </c>
      <c r="L36" s="567">
        <v>244.28473679999999</v>
      </c>
      <c r="M36" s="567">
        <v>162.45238080000001</v>
      </c>
      <c r="N36" s="567">
        <f t="shared" si="5"/>
        <v>406.73711760000003</v>
      </c>
      <c r="O36" s="567">
        <f t="shared" si="6"/>
        <v>149.2515628938414</v>
      </c>
      <c r="P36" s="567">
        <f t="shared" si="7"/>
        <v>82.95859380850456</v>
      </c>
      <c r="Q36" s="567">
        <f t="shared" si="8"/>
        <v>232.21015670234596</v>
      </c>
    </row>
    <row r="37" spans="1:17">
      <c r="A37" s="539">
        <v>25</v>
      </c>
      <c r="B37" s="537" t="s">
        <v>936</v>
      </c>
      <c r="C37" s="567">
        <f t="shared" si="0"/>
        <v>743.65346052942198</v>
      </c>
      <c r="D37" s="567">
        <f t="shared" si="1"/>
        <v>487.05949713242592</v>
      </c>
      <c r="E37" s="567">
        <f t="shared" si="2"/>
        <v>1230.7129576618479</v>
      </c>
      <c r="F37" s="567">
        <v>3.6829409811155074</v>
      </c>
      <c r="G37" s="567">
        <v>2.9740891324258882</v>
      </c>
      <c r="H37" s="567">
        <f t="shared" si="3"/>
        <v>6.6570301135413956</v>
      </c>
      <c r="I37" s="567">
        <v>739.97051954830647</v>
      </c>
      <c r="J37" s="567">
        <v>484.08540800000003</v>
      </c>
      <c r="K37" s="567">
        <f t="shared" si="4"/>
        <v>1224.0559275483065</v>
      </c>
      <c r="L37" s="567">
        <v>488.95179970000004</v>
      </c>
      <c r="M37" s="567">
        <v>325.1590132</v>
      </c>
      <c r="N37" s="567">
        <f t="shared" si="5"/>
        <v>814.11081290000004</v>
      </c>
      <c r="O37" s="567">
        <f t="shared" si="6"/>
        <v>254.70166082942194</v>
      </c>
      <c r="P37" s="567">
        <f t="shared" si="7"/>
        <v>161.90048393242591</v>
      </c>
      <c r="Q37" s="567">
        <f t="shared" si="8"/>
        <v>416.60214476184785</v>
      </c>
    </row>
    <row r="38" spans="1:17">
      <c r="A38" s="539">
        <v>26</v>
      </c>
      <c r="B38" s="537" t="s">
        <v>937</v>
      </c>
      <c r="C38" s="567">
        <f t="shared" si="0"/>
        <v>1006.1915450586114</v>
      </c>
      <c r="D38" s="567">
        <f t="shared" si="1"/>
        <v>646.48015962463751</v>
      </c>
      <c r="E38" s="567">
        <f t="shared" si="2"/>
        <v>1652.6717046832489</v>
      </c>
      <c r="F38" s="567">
        <v>2.1742153974113307</v>
      </c>
      <c r="G38" s="567">
        <v>2.1080996246375889</v>
      </c>
      <c r="H38" s="567">
        <f t="shared" si="3"/>
        <v>4.2823150220489197</v>
      </c>
      <c r="I38" s="567">
        <v>1004.0173296612001</v>
      </c>
      <c r="J38" s="567">
        <v>644.37205999999992</v>
      </c>
      <c r="K38" s="567">
        <f t="shared" si="4"/>
        <v>1648.3893896611999</v>
      </c>
      <c r="L38" s="567">
        <v>720.71842960000004</v>
      </c>
      <c r="M38" s="567">
        <v>479.28669760000008</v>
      </c>
      <c r="N38" s="567">
        <f t="shared" si="5"/>
        <v>1200.0051272000001</v>
      </c>
      <c r="O38" s="567">
        <f t="shared" si="6"/>
        <v>285.47311545861135</v>
      </c>
      <c r="P38" s="567">
        <f t="shared" si="7"/>
        <v>167.19346202463743</v>
      </c>
      <c r="Q38" s="567">
        <f t="shared" si="8"/>
        <v>452.66657748324877</v>
      </c>
    </row>
    <row r="39" spans="1:17">
      <c r="A39" s="539">
        <v>27</v>
      </c>
      <c r="B39" s="537" t="s">
        <v>938</v>
      </c>
      <c r="C39" s="567">
        <f t="shared" si="0"/>
        <v>791.99844992863495</v>
      </c>
      <c r="D39" s="567">
        <f t="shared" si="1"/>
        <v>514.83315077698285</v>
      </c>
      <c r="E39" s="567">
        <f t="shared" si="2"/>
        <v>1306.8316007056178</v>
      </c>
      <c r="F39" s="567">
        <v>1.4320755752345349</v>
      </c>
      <c r="G39" s="567">
        <v>3.3751507769827072</v>
      </c>
      <c r="H39" s="567">
        <f t="shared" si="3"/>
        <v>4.807226352217242</v>
      </c>
      <c r="I39" s="567">
        <v>790.56637435340042</v>
      </c>
      <c r="J39" s="567">
        <v>511.45800000000008</v>
      </c>
      <c r="K39" s="567">
        <f t="shared" si="4"/>
        <v>1302.0243743534006</v>
      </c>
      <c r="L39" s="567">
        <v>549.98953489999997</v>
      </c>
      <c r="M39" s="567">
        <v>365.74986440000004</v>
      </c>
      <c r="N39" s="567">
        <f t="shared" si="5"/>
        <v>915.73939930000006</v>
      </c>
      <c r="O39" s="567">
        <f t="shared" si="6"/>
        <v>242.00891502863499</v>
      </c>
      <c r="P39" s="567">
        <f t="shared" si="7"/>
        <v>149.08328637698281</v>
      </c>
      <c r="Q39" s="567">
        <f t="shared" si="8"/>
        <v>391.0922014056178</v>
      </c>
    </row>
    <row r="40" spans="1:17">
      <c r="A40" s="539">
        <v>28</v>
      </c>
      <c r="B40" s="537" t="s">
        <v>939</v>
      </c>
      <c r="C40" s="567">
        <f t="shared" si="0"/>
        <v>884.7793215643876</v>
      </c>
      <c r="D40" s="567">
        <f t="shared" si="1"/>
        <v>542.29419092016917</v>
      </c>
      <c r="E40" s="567">
        <f t="shared" si="2"/>
        <v>1427.0735124845569</v>
      </c>
      <c r="F40" s="567">
        <v>2.5098032838967583</v>
      </c>
      <c r="G40" s="567">
        <v>3.8760762535024469</v>
      </c>
      <c r="H40" s="567">
        <f t="shared" si="3"/>
        <v>6.3858795373992052</v>
      </c>
      <c r="I40" s="567">
        <v>882.26951828049084</v>
      </c>
      <c r="J40" s="567">
        <v>538.41811466666672</v>
      </c>
      <c r="K40" s="567">
        <f t="shared" si="4"/>
        <v>1420.6876329471575</v>
      </c>
      <c r="L40" s="567">
        <v>695.61414910000008</v>
      </c>
      <c r="M40" s="567">
        <v>462.59203960000002</v>
      </c>
      <c r="N40" s="567">
        <f t="shared" si="5"/>
        <v>1158.2061887</v>
      </c>
      <c r="O40" s="567">
        <f t="shared" si="6"/>
        <v>189.16517246438752</v>
      </c>
      <c r="P40" s="567">
        <f t="shared" si="7"/>
        <v>79.70215132016915</v>
      </c>
      <c r="Q40" s="567">
        <f t="shared" si="8"/>
        <v>268.86732378455667</v>
      </c>
    </row>
    <row r="41" spans="1:17">
      <c r="A41" s="539">
        <v>29</v>
      </c>
      <c r="B41" s="537" t="s">
        <v>940</v>
      </c>
      <c r="C41" s="567">
        <f t="shared" si="0"/>
        <v>556.19070652476717</v>
      </c>
      <c r="D41" s="567">
        <f t="shared" si="1"/>
        <v>361.96747662414833</v>
      </c>
      <c r="E41" s="567">
        <f t="shared" si="2"/>
        <v>918.15818314891544</v>
      </c>
      <c r="F41" s="567">
        <v>2.7942444773868829</v>
      </c>
      <c r="G41" s="567">
        <v>1.6262099574816489</v>
      </c>
      <c r="H41" s="567">
        <f t="shared" si="3"/>
        <v>4.4204544348685317</v>
      </c>
      <c r="I41" s="567">
        <v>553.39646204738028</v>
      </c>
      <c r="J41" s="567">
        <v>360.34126666666668</v>
      </c>
      <c r="K41" s="567">
        <f t="shared" si="4"/>
        <v>913.73772871404697</v>
      </c>
      <c r="L41" s="567">
        <v>348.28364219999997</v>
      </c>
      <c r="M41" s="567">
        <v>231.61294319999999</v>
      </c>
      <c r="N41" s="567">
        <f t="shared" si="5"/>
        <v>579.89658539999994</v>
      </c>
      <c r="O41" s="567">
        <f t="shared" si="6"/>
        <v>207.90706432476719</v>
      </c>
      <c r="P41" s="567">
        <f t="shared" si="7"/>
        <v>130.35453342414834</v>
      </c>
      <c r="Q41" s="567">
        <f t="shared" si="8"/>
        <v>338.26159774891551</v>
      </c>
    </row>
    <row r="42" spans="1:17">
      <c r="A42" s="539">
        <v>30</v>
      </c>
      <c r="B42" s="537" t="s">
        <v>941</v>
      </c>
      <c r="C42" s="567">
        <f t="shared" si="0"/>
        <v>948.18957440701627</v>
      </c>
      <c r="D42" s="567">
        <f t="shared" si="1"/>
        <v>619.49640820922446</v>
      </c>
      <c r="E42" s="567">
        <f t="shared" si="2"/>
        <v>1567.6859826162408</v>
      </c>
      <c r="F42" s="567">
        <v>4.1302290265585953</v>
      </c>
      <c r="G42" s="567">
        <v>0.3871522092243822</v>
      </c>
      <c r="H42" s="567">
        <f t="shared" si="3"/>
        <v>4.5173812357829775</v>
      </c>
      <c r="I42" s="567">
        <v>944.05934538045767</v>
      </c>
      <c r="J42" s="567">
        <v>619.10925600000007</v>
      </c>
      <c r="K42" s="567">
        <f t="shared" si="4"/>
        <v>1563.1686013804579</v>
      </c>
      <c r="L42" s="567">
        <v>677.64514480000003</v>
      </c>
      <c r="M42" s="567">
        <v>450.6424288</v>
      </c>
      <c r="N42" s="567">
        <f t="shared" si="5"/>
        <v>1128.2875736000001</v>
      </c>
      <c r="O42" s="567">
        <f t="shared" si="6"/>
        <v>270.54442960701624</v>
      </c>
      <c r="P42" s="567">
        <f t="shared" si="7"/>
        <v>168.85397940922445</v>
      </c>
      <c r="Q42" s="567">
        <f t="shared" si="8"/>
        <v>439.39840901624069</v>
      </c>
    </row>
    <row r="43" spans="1:17">
      <c r="A43" s="539">
        <v>31</v>
      </c>
      <c r="B43" s="537" t="s">
        <v>942</v>
      </c>
      <c r="C43" s="567">
        <f t="shared" si="0"/>
        <v>894.50465013775658</v>
      </c>
      <c r="D43" s="567">
        <f t="shared" si="1"/>
        <v>538.86923753073575</v>
      </c>
      <c r="E43" s="567">
        <f t="shared" si="2"/>
        <v>1433.3738876684924</v>
      </c>
      <c r="F43" s="567">
        <v>1.1675957698416823</v>
      </c>
      <c r="G43" s="567">
        <v>1.6707641974023772</v>
      </c>
      <c r="H43" s="567">
        <f t="shared" si="3"/>
        <v>2.8383599672440596</v>
      </c>
      <c r="I43" s="567">
        <v>893.3370543679149</v>
      </c>
      <c r="J43" s="567">
        <v>537.19847333333337</v>
      </c>
      <c r="K43" s="567">
        <f t="shared" si="4"/>
        <v>1430.5355277012482</v>
      </c>
      <c r="L43" s="567">
        <v>648.63385990000006</v>
      </c>
      <c r="M43" s="567">
        <v>431.34956440000008</v>
      </c>
      <c r="N43" s="567">
        <f t="shared" si="5"/>
        <v>1079.9834243</v>
      </c>
      <c r="O43" s="567">
        <f t="shared" si="6"/>
        <v>245.87079023775652</v>
      </c>
      <c r="P43" s="567">
        <f t="shared" si="7"/>
        <v>107.51967313073567</v>
      </c>
      <c r="Q43" s="567">
        <f t="shared" si="8"/>
        <v>353.39046336849219</v>
      </c>
    </row>
    <row r="44" spans="1:17">
      <c r="A44" s="539">
        <v>32</v>
      </c>
      <c r="B44" s="537" t="s">
        <v>943</v>
      </c>
      <c r="C44" s="567">
        <f t="shared" si="0"/>
        <v>559.91789683314664</v>
      </c>
      <c r="D44" s="567">
        <f t="shared" si="1"/>
        <v>367.60970552155618</v>
      </c>
      <c r="E44" s="567">
        <f t="shared" si="2"/>
        <v>927.52760235470282</v>
      </c>
      <c r="F44" s="567">
        <v>3.363493977113194</v>
      </c>
      <c r="G44" s="567">
        <v>3.4878601882228395</v>
      </c>
      <c r="H44" s="567">
        <f t="shared" si="3"/>
        <v>6.8513541653360335</v>
      </c>
      <c r="I44" s="567">
        <v>556.55440285603345</v>
      </c>
      <c r="J44" s="567">
        <v>364.12184533333334</v>
      </c>
      <c r="K44" s="567">
        <f t="shared" si="4"/>
        <v>920.67624818936679</v>
      </c>
      <c r="L44" s="567">
        <v>381.76584940000004</v>
      </c>
      <c r="M44" s="567">
        <v>253.87902640000001</v>
      </c>
      <c r="N44" s="567">
        <f t="shared" si="5"/>
        <v>635.64487580000002</v>
      </c>
      <c r="O44" s="567">
        <f t="shared" si="6"/>
        <v>178.15204743314661</v>
      </c>
      <c r="P44" s="567">
        <f t="shared" si="7"/>
        <v>113.73067912155616</v>
      </c>
      <c r="Q44" s="567">
        <f t="shared" si="8"/>
        <v>291.8827265547028</v>
      </c>
    </row>
    <row r="45" spans="1:17">
      <c r="A45" s="539">
        <v>33</v>
      </c>
      <c r="B45" s="537" t="s">
        <v>944</v>
      </c>
      <c r="C45" s="567">
        <f t="shared" si="0"/>
        <v>802.2649929297736</v>
      </c>
      <c r="D45" s="567">
        <f t="shared" si="1"/>
        <v>474.94980980483547</v>
      </c>
      <c r="E45" s="567">
        <f t="shared" si="2"/>
        <v>1277.2148027346091</v>
      </c>
      <c r="F45" s="567">
        <v>3.1860000000000355</v>
      </c>
      <c r="G45" s="567">
        <v>3.3706638048354307</v>
      </c>
      <c r="H45" s="567">
        <f t="shared" si="3"/>
        <v>6.5566638048354662</v>
      </c>
      <c r="I45" s="567">
        <v>799.07899292977356</v>
      </c>
      <c r="J45" s="567">
        <v>471.57914600000004</v>
      </c>
      <c r="K45" s="567">
        <f t="shared" si="4"/>
        <v>1270.6581389297735</v>
      </c>
      <c r="L45" s="567">
        <v>554.7854767</v>
      </c>
      <c r="M45" s="567">
        <v>368.93922520000001</v>
      </c>
      <c r="N45" s="567">
        <f t="shared" si="5"/>
        <v>923.72470190000001</v>
      </c>
      <c r="O45" s="567">
        <f t="shared" si="6"/>
        <v>247.47951622977359</v>
      </c>
      <c r="P45" s="567">
        <f t="shared" si="7"/>
        <v>106.01058460483546</v>
      </c>
      <c r="Q45" s="567">
        <f t="shared" si="8"/>
        <v>353.49010083460905</v>
      </c>
    </row>
    <row r="46" spans="1:17">
      <c r="A46" s="539">
        <v>34</v>
      </c>
      <c r="B46" s="537" t="s">
        <v>945</v>
      </c>
      <c r="C46" s="567">
        <f t="shared" si="0"/>
        <v>540.95762351886856</v>
      </c>
      <c r="D46" s="567">
        <f t="shared" si="1"/>
        <v>321.19975829418854</v>
      </c>
      <c r="E46" s="567">
        <f t="shared" si="2"/>
        <v>862.1573818130571</v>
      </c>
      <c r="F46" s="567">
        <v>4.9642368524025073</v>
      </c>
      <c r="G46" s="567">
        <v>6.5200076275218635</v>
      </c>
      <c r="H46" s="567">
        <f t="shared" si="3"/>
        <v>11.484244479924371</v>
      </c>
      <c r="I46" s="567">
        <v>535.99338666646611</v>
      </c>
      <c r="J46" s="567">
        <v>314.67975066666668</v>
      </c>
      <c r="K46" s="567">
        <f t="shared" si="4"/>
        <v>850.67313733313279</v>
      </c>
      <c r="L46" s="567">
        <v>328.25248690000001</v>
      </c>
      <c r="M46" s="567">
        <v>218.29197640000001</v>
      </c>
      <c r="N46" s="567">
        <f t="shared" si="5"/>
        <v>546.54446329999996</v>
      </c>
      <c r="O46" s="567">
        <f t="shared" si="6"/>
        <v>212.70513661886855</v>
      </c>
      <c r="P46" s="567">
        <f t="shared" si="7"/>
        <v>102.90778189418853</v>
      </c>
      <c r="Q46" s="567">
        <f t="shared" si="8"/>
        <v>315.61291851305708</v>
      </c>
    </row>
    <row r="47" spans="1:17" s="14" customFormat="1">
      <c r="A47" s="559" t="s">
        <v>17</v>
      </c>
      <c r="B47" s="538"/>
      <c r="C47" s="574">
        <f t="shared" ref="C47:E47" si="9">SUM(C13:C46)</f>
        <v>16206.078647220458</v>
      </c>
      <c r="D47" s="574">
        <f t="shared" si="9"/>
        <v>10644.560955401401</v>
      </c>
      <c r="E47" s="574">
        <f t="shared" si="9"/>
        <v>26850.63960262185</v>
      </c>
      <c r="F47" s="574">
        <f>SUM(F13:F46)</f>
        <v>390.59847605854816</v>
      </c>
      <c r="G47" s="574">
        <f>SUM(G13:G46)</f>
        <v>288.09095540139793</v>
      </c>
      <c r="H47" s="570">
        <f>SUM(H13:H46)</f>
        <v>678.68943145994626</v>
      </c>
      <c r="I47" s="570">
        <f t="shared" ref="I47:K47" si="10">SUM(I13:I46)</f>
        <v>15815.480171161911</v>
      </c>
      <c r="J47" s="570">
        <f t="shared" si="10"/>
        <v>10356.470000000001</v>
      </c>
      <c r="K47" s="570">
        <f t="shared" si="10"/>
        <v>26171.950171161912</v>
      </c>
      <c r="L47" s="570">
        <f t="shared" ref="L47" si="11">SUM(L13:L46)</f>
        <v>11069.722562600004</v>
      </c>
      <c r="M47" s="570">
        <f t="shared" ref="M47" si="12">SUM(M13:M46)</f>
        <v>7361.5028456</v>
      </c>
      <c r="N47" s="570">
        <f t="shared" ref="N47" si="13">SUM(N13:N46)</f>
        <v>18431.2254082</v>
      </c>
      <c r="O47" s="570">
        <f t="shared" ref="O47" si="14">SUM(O13:O46)</f>
        <v>5136.3560846204591</v>
      </c>
      <c r="P47" s="570">
        <f t="shared" ref="P47" si="15">SUM(P13:P46)</f>
        <v>3283.0581098013986</v>
      </c>
      <c r="Q47" s="570">
        <f t="shared" ref="Q47" si="16">SUM(Q13:Q46)</f>
        <v>8419.4141944218572</v>
      </c>
    </row>
    <row r="48" spans="1:17">
      <c r="A48" s="11"/>
      <c r="B48" s="28"/>
      <c r="C48" s="28"/>
      <c r="D48" s="28"/>
      <c r="E48" s="20"/>
      <c r="F48" s="20"/>
      <c r="G48" s="20"/>
      <c r="H48" s="20"/>
      <c r="I48" s="422"/>
      <c r="J48" s="20"/>
      <c r="K48" s="20"/>
      <c r="L48" s="20"/>
      <c r="M48" s="20"/>
      <c r="N48" s="20"/>
      <c r="O48" s="20"/>
      <c r="P48" s="20"/>
      <c r="Q48" s="20"/>
    </row>
    <row r="49" spans="1:18" ht="14.25" customHeight="1">
      <c r="A49" s="958" t="s">
        <v>669</v>
      </c>
      <c r="B49" s="958"/>
      <c r="C49" s="958"/>
      <c r="D49" s="958"/>
      <c r="E49" s="958"/>
      <c r="F49" s="958"/>
      <c r="G49" s="958"/>
      <c r="H49" s="958"/>
      <c r="I49" s="958"/>
      <c r="J49" s="958"/>
      <c r="K49" s="958"/>
      <c r="L49" s="958"/>
      <c r="M49" s="958"/>
      <c r="N49" s="958"/>
      <c r="O49" s="958"/>
      <c r="P49" s="958"/>
      <c r="Q49" s="958"/>
    </row>
    <row r="50" spans="1:18" ht="15.75" customHeight="1">
      <c r="N50" s="700"/>
      <c r="P50" s="423"/>
      <c r="Q50" s="700"/>
    </row>
    <row r="51" spans="1:18" ht="15.75" customHeight="1">
      <c r="I51" s="423"/>
      <c r="J51" s="423"/>
      <c r="R51" s="423"/>
    </row>
    <row r="52" spans="1:18" ht="12.75" customHeight="1">
      <c r="A52" s="417"/>
      <c r="B52" s="13"/>
      <c r="C52" s="13"/>
      <c r="D52" s="13"/>
      <c r="E52" s="13"/>
      <c r="F52" s="13"/>
      <c r="G52" s="417"/>
      <c r="H52" s="417"/>
      <c r="I52" s="417"/>
      <c r="J52" s="417"/>
      <c r="K52" s="417"/>
      <c r="L52" s="417"/>
      <c r="M52" s="804" t="s">
        <v>12</v>
      </c>
      <c r="N52" s="804"/>
      <c r="O52" s="804"/>
      <c r="P52" s="804"/>
      <c r="Q52" s="417"/>
    </row>
    <row r="53" spans="1:18" ht="12.75" customHeight="1">
      <c r="A53" s="803" t="s">
        <v>906</v>
      </c>
      <c r="B53" s="803"/>
      <c r="C53" s="803"/>
      <c r="D53" s="803"/>
      <c r="E53" s="375"/>
      <c r="F53" s="375"/>
      <c r="G53" s="417"/>
      <c r="H53" s="417"/>
      <c r="I53" s="423"/>
      <c r="J53" s="417"/>
      <c r="K53" s="417"/>
      <c r="L53" s="417"/>
      <c r="M53" s="804" t="s">
        <v>13</v>
      </c>
      <c r="N53" s="804"/>
      <c r="O53" s="804"/>
      <c r="P53" s="804"/>
      <c r="Q53" s="417"/>
      <c r="R53" s="423"/>
    </row>
    <row r="54" spans="1:18" ht="15.75" customHeight="1">
      <c r="A54" s="804" t="s">
        <v>907</v>
      </c>
      <c r="B54" s="804"/>
      <c r="C54" s="804"/>
      <c r="D54" s="804"/>
      <c r="E54" s="375"/>
      <c r="F54" s="375"/>
      <c r="G54" s="417"/>
      <c r="H54" s="417"/>
      <c r="I54" s="423"/>
      <c r="J54" s="417"/>
      <c r="K54" s="417"/>
      <c r="L54" s="417"/>
      <c r="M54" s="804" t="s">
        <v>18</v>
      </c>
      <c r="N54" s="804"/>
      <c r="O54" s="804"/>
      <c r="P54" s="804"/>
      <c r="Q54" s="417"/>
    </row>
    <row r="55" spans="1:18" ht="12.75" customHeight="1">
      <c r="A55" s="804" t="s">
        <v>908</v>
      </c>
      <c r="B55" s="804"/>
      <c r="C55" s="804"/>
      <c r="D55" s="804"/>
      <c r="E55"/>
      <c r="F55"/>
      <c r="G55" s="417"/>
      <c r="H55" s="417"/>
      <c r="I55" s="417"/>
      <c r="J55" s="417"/>
      <c r="K55" s="417"/>
      <c r="L55" s="417"/>
      <c r="M55" s="417"/>
      <c r="N55" s="14"/>
      <c r="O55" s="33" t="s">
        <v>84</v>
      </c>
      <c r="P55" s="33"/>
      <c r="Q55" s="417"/>
    </row>
    <row r="56" spans="1:18">
      <c r="A56" s="416"/>
      <c r="B56" s="416"/>
      <c r="C56" s="416"/>
      <c r="D56" s="416"/>
      <c r="E56" s="416"/>
      <c r="F56" s="416"/>
      <c r="G56" s="417"/>
      <c r="H56" s="417"/>
      <c r="I56" s="417"/>
      <c r="J56" s="417"/>
      <c r="K56" s="417"/>
      <c r="L56" s="417"/>
      <c r="M56" s="417"/>
      <c r="N56" s="417"/>
      <c r="O56" s="417"/>
      <c r="P56" s="417"/>
      <c r="Q56" s="417"/>
    </row>
    <row r="57" spans="1:18" ht="15.75">
      <c r="A57" s="13" t="s">
        <v>11</v>
      </c>
      <c r="B57" s="417"/>
      <c r="C57" s="417"/>
      <c r="D57" s="417"/>
      <c r="E57" s="417"/>
      <c r="F57" s="417"/>
      <c r="G57" s="417"/>
      <c r="H57" s="417"/>
      <c r="I57" s="417"/>
      <c r="J57" s="417"/>
      <c r="K57" s="417"/>
      <c r="L57" s="417"/>
      <c r="M57" s="417"/>
      <c r="N57" s="417"/>
      <c r="O57" s="417"/>
      <c r="P57" s="417"/>
      <c r="Q57" s="417"/>
    </row>
    <row r="58" spans="1:18">
      <c r="A58" s="417"/>
      <c r="B58" s="417"/>
      <c r="C58" s="417"/>
      <c r="D58" s="417"/>
      <c r="E58" s="417"/>
      <c r="F58" s="417"/>
      <c r="G58" s="417"/>
      <c r="H58" s="417"/>
      <c r="I58" s="417"/>
      <c r="J58" s="417"/>
      <c r="K58" s="417"/>
      <c r="L58" s="417"/>
      <c r="M58" s="417"/>
      <c r="N58" s="417"/>
      <c r="O58" s="417"/>
      <c r="P58" s="417"/>
      <c r="Q58" s="417"/>
    </row>
  </sheetData>
  <mergeCells count="21">
    <mergeCell ref="R1:R10"/>
    <mergeCell ref="I10:K10"/>
    <mergeCell ref="L10:N10"/>
    <mergeCell ref="O10:Q10"/>
    <mergeCell ref="A8:B8"/>
    <mergeCell ref="A10:A11"/>
    <mergeCell ref="B10:B11"/>
    <mergeCell ref="C10:E10"/>
    <mergeCell ref="F10:H10"/>
    <mergeCell ref="A55:D55"/>
    <mergeCell ref="P1:Q1"/>
    <mergeCell ref="A2:Q2"/>
    <mergeCell ref="A3:Q3"/>
    <mergeCell ref="N9:Q9"/>
    <mergeCell ref="D6:O6"/>
    <mergeCell ref="M52:P52"/>
    <mergeCell ref="A53:D53"/>
    <mergeCell ref="M53:P53"/>
    <mergeCell ref="A54:D54"/>
    <mergeCell ref="M54:P54"/>
    <mergeCell ref="A49:Q49"/>
  </mergeCells>
  <phoneticPr fontId="0" type="noConversion"/>
  <printOptions horizontalCentered="1"/>
  <pageMargins left="0.70866141732283472" right="0.70866141732283472" top="0.23622047244094491" bottom="0" header="0.31496062992125984" footer="0.31496062992125984"/>
  <pageSetup paperSize="9" scale="73" orientation="landscape" r:id="rId1"/>
</worksheet>
</file>

<file path=xl/worksheets/sheet26.xml><?xml version="1.0" encoding="utf-8"?>
<worksheet xmlns="http://schemas.openxmlformats.org/spreadsheetml/2006/main" xmlns:r="http://schemas.openxmlformats.org/officeDocument/2006/relationships">
  <sheetPr codeName="Sheet26">
    <tabColor rgb="FF92D050"/>
    <pageSetUpPr fitToPage="1"/>
  </sheetPr>
  <dimension ref="A1:V56"/>
  <sheetViews>
    <sheetView view="pageBreakPreview" topLeftCell="A10" zoomScale="77" zoomScaleNormal="90" zoomScaleSheetLayoutView="77" workbookViewId="0">
      <pane xSplit="2" ySplit="4" topLeftCell="E29" activePane="bottomRight" state="frozen"/>
      <selection activeCell="A10" sqref="A10"/>
      <selection pane="topRight" activeCell="C10" sqref="C10"/>
      <selection pane="bottomLeft" activeCell="A14" sqref="A14"/>
      <selection pane="bottomRight" activeCell="C35" sqref="C35:V35"/>
    </sheetView>
  </sheetViews>
  <sheetFormatPr defaultRowHeight="12.75"/>
  <cols>
    <col min="1" max="1" width="8" customWidth="1"/>
    <col min="2" max="2" width="20.140625" customWidth="1"/>
    <col min="3" max="22" width="11.42578125" customWidth="1"/>
  </cols>
  <sheetData>
    <row r="1" spans="1:22" ht="15">
      <c r="Q1" s="962" t="s">
        <v>65</v>
      </c>
      <c r="R1" s="962"/>
      <c r="S1" s="962"/>
      <c r="T1" s="962"/>
      <c r="U1" s="962"/>
      <c r="V1" s="962"/>
    </row>
    <row r="3" spans="1:22" ht="15">
      <c r="A3" s="920" t="s">
        <v>0</v>
      </c>
      <c r="B3" s="920"/>
      <c r="C3" s="920"/>
      <c r="D3" s="920"/>
      <c r="E3" s="920"/>
      <c r="F3" s="920"/>
      <c r="G3" s="920"/>
      <c r="H3" s="920"/>
      <c r="I3" s="920"/>
      <c r="J3" s="920"/>
      <c r="K3" s="920"/>
      <c r="L3" s="920"/>
      <c r="M3" s="920"/>
      <c r="N3" s="920"/>
      <c r="O3" s="920"/>
      <c r="P3" s="920"/>
      <c r="Q3" s="920"/>
      <c r="R3" s="920"/>
      <c r="S3" s="920"/>
      <c r="T3" s="920"/>
      <c r="U3" s="920"/>
      <c r="V3" s="920"/>
    </row>
    <row r="4" spans="1:22" ht="20.25">
      <c r="A4" s="881" t="s">
        <v>745</v>
      </c>
      <c r="B4" s="881"/>
      <c r="C4" s="881"/>
      <c r="D4" s="881"/>
      <c r="E4" s="881"/>
      <c r="F4" s="881"/>
      <c r="G4" s="881"/>
      <c r="H4" s="881"/>
      <c r="I4" s="881"/>
      <c r="J4" s="881"/>
      <c r="K4" s="881"/>
      <c r="L4" s="881"/>
      <c r="M4" s="881"/>
      <c r="N4" s="881"/>
      <c r="O4" s="881"/>
      <c r="P4" s="881"/>
      <c r="Q4" s="881"/>
      <c r="R4" s="881"/>
      <c r="S4" s="881"/>
      <c r="T4" s="881"/>
      <c r="U4" s="881"/>
      <c r="V4" s="881"/>
    </row>
    <row r="5" spans="1:22" ht="15.75">
      <c r="A5" s="967" t="s">
        <v>950</v>
      </c>
      <c r="B5" s="967"/>
      <c r="C5" s="967"/>
      <c r="D5" s="967"/>
      <c r="E5" s="967"/>
      <c r="F5" s="967"/>
      <c r="G5" s="967"/>
      <c r="H5" s="967"/>
      <c r="I5" s="967"/>
      <c r="J5" s="967"/>
      <c r="K5" s="967"/>
      <c r="L5" s="967"/>
      <c r="M5" s="967"/>
      <c r="N5" s="967"/>
      <c r="O5" s="967"/>
      <c r="P5" s="967"/>
      <c r="Q5" s="967"/>
    </row>
    <row r="6" spans="1:22">
      <c r="A6" s="33"/>
      <c r="B6" s="33"/>
      <c r="C6" s="157"/>
      <c r="D6" s="33"/>
      <c r="E6" s="33"/>
      <c r="F6" s="33"/>
      <c r="G6" s="33"/>
      <c r="H6" s="33"/>
      <c r="I6" s="33"/>
      <c r="J6" s="33"/>
      <c r="K6" s="33"/>
      <c r="L6" s="33"/>
      <c r="M6" s="33"/>
      <c r="N6" s="33"/>
      <c r="O6" s="33"/>
      <c r="P6" s="33"/>
      <c r="Q6" s="33"/>
      <c r="U6" s="33"/>
    </row>
    <row r="8" spans="1:22" ht="15.75">
      <c r="A8" s="849" t="s">
        <v>816</v>
      </c>
      <c r="B8" s="849"/>
      <c r="C8" s="849"/>
      <c r="D8" s="849"/>
      <c r="E8" s="849"/>
      <c r="F8" s="849"/>
      <c r="G8" s="849"/>
      <c r="H8" s="849"/>
      <c r="I8" s="849"/>
      <c r="J8" s="849"/>
      <c r="K8" s="849"/>
      <c r="L8" s="849"/>
      <c r="M8" s="849"/>
      <c r="N8" s="849"/>
      <c r="O8" s="849"/>
      <c r="P8" s="849"/>
      <c r="Q8" s="849"/>
      <c r="R8" s="849"/>
      <c r="S8" s="849"/>
      <c r="T8" s="849"/>
      <c r="U8" s="849"/>
      <c r="V8" s="849"/>
    </row>
    <row r="9" spans="1:22" ht="15.75">
      <c r="A9" s="44"/>
      <c r="B9" s="37"/>
      <c r="C9" s="37"/>
      <c r="D9" s="37"/>
      <c r="E9" s="37"/>
      <c r="F9" s="37"/>
      <c r="G9" s="37"/>
      <c r="H9" s="37"/>
      <c r="I9" s="37"/>
      <c r="J9" s="37"/>
      <c r="K9" s="37"/>
      <c r="L9" s="37"/>
      <c r="M9" s="37"/>
      <c r="N9" s="37"/>
      <c r="O9" s="37"/>
      <c r="Q9" s="33"/>
      <c r="R9" s="33"/>
      <c r="S9" s="33"/>
      <c r="U9" s="966" t="s">
        <v>221</v>
      </c>
      <c r="V9" s="966"/>
    </row>
    <row r="10" spans="1:22">
      <c r="P10" s="914" t="s">
        <v>831</v>
      </c>
      <c r="Q10" s="914"/>
      <c r="R10" s="914"/>
      <c r="S10" s="914"/>
      <c r="T10" s="914"/>
      <c r="U10" s="914"/>
      <c r="V10" s="914"/>
    </row>
    <row r="11" spans="1:22" ht="28.5" customHeight="1">
      <c r="A11" s="960" t="s">
        <v>24</v>
      </c>
      <c r="B11" s="917" t="s">
        <v>201</v>
      </c>
      <c r="C11" s="917" t="s">
        <v>370</v>
      </c>
      <c r="D11" s="917" t="s">
        <v>475</v>
      </c>
      <c r="E11" s="851" t="s">
        <v>856</v>
      </c>
      <c r="F11" s="851"/>
      <c r="G11" s="851"/>
      <c r="H11" s="821" t="s">
        <v>826</v>
      </c>
      <c r="I11" s="822"/>
      <c r="J11" s="823"/>
      <c r="K11" s="952" t="s">
        <v>372</v>
      </c>
      <c r="L11" s="953"/>
      <c r="M11" s="954"/>
      <c r="N11" s="963" t="s">
        <v>156</v>
      </c>
      <c r="O11" s="964"/>
      <c r="P11" s="965"/>
      <c r="Q11" s="834" t="s">
        <v>857</v>
      </c>
      <c r="R11" s="834"/>
      <c r="S11" s="834"/>
      <c r="T11" s="917" t="s">
        <v>243</v>
      </c>
      <c r="U11" s="917" t="s">
        <v>425</v>
      </c>
      <c r="V11" s="917" t="s">
        <v>373</v>
      </c>
    </row>
    <row r="12" spans="1:22" ht="65.25" customHeight="1">
      <c r="A12" s="961"/>
      <c r="B12" s="918"/>
      <c r="C12" s="918"/>
      <c r="D12" s="918"/>
      <c r="E12" s="5" t="s">
        <v>176</v>
      </c>
      <c r="F12" s="5" t="s">
        <v>202</v>
      </c>
      <c r="G12" s="5" t="s">
        <v>17</v>
      </c>
      <c r="H12" s="5" t="s">
        <v>176</v>
      </c>
      <c r="I12" s="5" t="s">
        <v>202</v>
      </c>
      <c r="J12" s="5" t="s">
        <v>17</v>
      </c>
      <c r="K12" s="5" t="s">
        <v>176</v>
      </c>
      <c r="L12" s="5" t="s">
        <v>202</v>
      </c>
      <c r="M12" s="5" t="s">
        <v>17</v>
      </c>
      <c r="N12" s="5" t="s">
        <v>176</v>
      </c>
      <c r="O12" s="5" t="s">
        <v>202</v>
      </c>
      <c r="P12" s="5" t="s">
        <v>17</v>
      </c>
      <c r="Q12" s="5" t="s">
        <v>231</v>
      </c>
      <c r="R12" s="5" t="s">
        <v>213</v>
      </c>
      <c r="S12" s="5" t="s">
        <v>214</v>
      </c>
      <c r="T12" s="918"/>
      <c r="U12" s="918"/>
      <c r="V12" s="918"/>
    </row>
    <row r="13" spans="1:22">
      <c r="A13" s="155">
        <v>1</v>
      </c>
      <c r="B13" s="105">
        <v>2</v>
      </c>
      <c r="C13" s="8">
        <v>3</v>
      </c>
      <c r="D13" s="105">
        <v>4</v>
      </c>
      <c r="E13" s="105">
        <v>5</v>
      </c>
      <c r="F13" s="8">
        <v>6</v>
      </c>
      <c r="G13" s="105">
        <v>7</v>
      </c>
      <c r="H13" s="105">
        <v>8</v>
      </c>
      <c r="I13" s="8">
        <v>9</v>
      </c>
      <c r="J13" s="105">
        <v>10</v>
      </c>
      <c r="K13" s="105">
        <v>11</v>
      </c>
      <c r="L13" s="8">
        <v>12</v>
      </c>
      <c r="M13" s="105">
        <v>13</v>
      </c>
      <c r="N13" s="105">
        <v>14</v>
      </c>
      <c r="O13" s="8">
        <v>15</v>
      </c>
      <c r="P13" s="105">
        <v>16</v>
      </c>
      <c r="Q13" s="105">
        <v>17</v>
      </c>
      <c r="R13" s="8">
        <v>18</v>
      </c>
      <c r="S13" s="105">
        <v>19</v>
      </c>
      <c r="T13" s="105">
        <v>20</v>
      </c>
      <c r="U13" s="8">
        <v>21</v>
      </c>
      <c r="V13" s="105">
        <v>22</v>
      </c>
    </row>
    <row r="14" spans="1:22" ht="14.25">
      <c r="A14" s="575">
        <v>1</v>
      </c>
      <c r="B14" s="576" t="s">
        <v>912</v>
      </c>
      <c r="C14" s="573">
        <v>598</v>
      </c>
      <c r="D14" s="573">
        <v>598</v>
      </c>
      <c r="E14" s="577">
        <f>H14+K14</f>
        <v>36.129999999999995</v>
      </c>
      <c r="F14" s="577">
        <f>I14+L14</f>
        <v>130.272538196</v>
      </c>
      <c r="G14" s="577">
        <f>E14+F14</f>
        <v>166.40253819599999</v>
      </c>
      <c r="H14" s="577">
        <v>0</v>
      </c>
      <c r="I14" s="577">
        <v>9.7325381960000072</v>
      </c>
      <c r="J14" s="577">
        <f>H14+I14</f>
        <v>9.7325381960000072</v>
      </c>
      <c r="K14" s="577">
        <v>36.129999999999995</v>
      </c>
      <c r="L14" s="577">
        <v>120.53999999999999</v>
      </c>
      <c r="M14" s="577">
        <f>K14+L14</f>
        <v>156.66999999999999</v>
      </c>
      <c r="N14" s="577">
        <v>25.116</v>
      </c>
      <c r="O14" s="577">
        <v>83.72</v>
      </c>
      <c r="P14" s="577">
        <f>N14+O14</f>
        <v>108.836</v>
      </c>
      <c r="Q14" s="577">
        <f>H14+K14-N14</f>
        <v>11.013999999999996</v>
      </c>
      <c r="R14" s="577">
        <f>I14+L14-O14</f>
        <v>46.552538196</v>
      </c>
      <c r="S14" s="577">
        <f>Q14+R14</f>
        <v>57.566538195999996</v>
      </c>
      <c r="T14" s="573" t="s">
        <v>951</v>
      </c>
      <c r="U14" s="573">
        <f>D14</f>
        <v>598</v>
      </c>
      <c r="V14" s="573">
        <f>U14</f>
        <v>598</v>
      </c>
    </row>
    <row r="15" spans="1:22" ht="14.25">
      <c r="A15" s="575">
        <v>2</v>
      </c>
      <c r="B15" s="576" t="s">
        <v>913</v>
      </c>
      <c r="C15" s="573">
        <v>898</v>
      </c>
      <c r="D15" s="573">
        <v>898</v>
      </c>
      <c r="E15" s="577">
        <f t="shared" ref="E15:E47" si="0">H15+K15</f>
        <v>53.69</v>
      </c>
      <c r="F15" s="577">
        <f t="shared" ref="F15:F47" si="1">I15+L15</f>
        <v>187.732286544</v>
      </c>
      <c r="G15" s="577">
        <f t="shared" ref="G15:G47" si="2">E15+F15</f>
        <v>241.422286544</v>
      </c>
      <c r="H15" s="577">
        <v>0</v>
      </c>
      <c r="I15" s="577">
        <v>8.7222865440000135</v>
      </c>
      <c r="J15" s="577">
        <f t="shared" ref="J15:J47" si="3">H15+I15</f>
        <v>8.7222865440000135</v>
      </c>
      <c r="K15" s="577">
        <v>53.69</v>
      </c>
      <c r="L15" s="577">
        <v>179.01</v>
      </c>
      <c r="M15" s="577">
        <f t="shared" ref="M15:M47" si="4">K15+L15</f>
        <v>232.7</v>
      </c>
      <c r="N15" s="577">
        <v>37.716000000000001</v>
      </c>
      <c r="O15" s="577">
        <v>125.804</v>
      </c>
      <c r="P15" s="577">
        <f t="shared" ref="P15:P47" si="5">N15+O15</f>
        <v>163.52000000000001</v>
      </c>
      <c r="Q15" s="577">
        <f t="shared" ref="Q15:Q47" si="6">H15+K15-N15</f>
        <v>15.973999999999997</v>
      </c>
      <c r="R15" s="577">
        <f t="shared" ref="R15:R47" si="7">I15+L15-O15</f>
        <v>61.928286544000002</v>
      </c>
      <c r="S15" s="577">
        <f t="shared" ref="S15:S47" si="8">Q15+R15</f>
        <v>77.902286543999992</v>
      </c>
      <c r="T15" s="573" t="s">
        <v>951</v>
      </c>
      <c r="U15" s="573">
        <f t="shared" ref="U15:U47" si="9">D15</f>
        <v>898</v>
      </c>
      <c r="V15" s="573">
        <f t="shared" ref="V15:V47" si="10">U15</f>
        <v>898</v>
      </c>
    </row>
    <row r="16" spans="1:22" ht="14.25">
      <c r="A16" s="575">
        <v>3</v>
      </c>
      <c r="B16" s="576" t="s">
        <v>914</v>
      </c>
      <c r="C16" s="573">
        <v>1817</v>
      </c>
      <c r="D16" s="573">
        <v>1798</v>
      </c>
      <c r="E16" s="577">
        <f t="shared" si="0"/>
        <v>108.89</v>
      </c>
      <c r="F16" s="577">
        <f t="shared" si="1"/>
        <v>413.51808694823541</v>
      </c>
      <c r="G16" s="577">
        <f t="shared" si="2"/>
        <v>522.40808694823545</v>
      </c>
      <c r="H16" s="577">
        <v>0</v>
      </c>
      <c r="I16" s="577">
        <v>42.54808694823538</v>
      </c>
      <c r="J16" s="577">
        <f t="shared" si="3"/>
        <v>42.54808694823538</v>
      </c>
      <c r="K16" s="577">
        <v>108.89</v>
      </c>
      <c r="L16" s="577">
        <v>370.97</v>
      </c>
      <c r="M16" s="577">
        <f t="shared" si="4"/>
        <v>479.86</v>
      </c>
      <c r="N16" s="577">
        <v>76.313999999999993</v>
      </c>
      <c r="O16" s="577">
        <v>260.19</v>
      </c>
      <c r="P16" s="577">
        <f t="shared" si="5"/>
        <v>336.50400000000002</v>
      </c>
      <c r="Q16" s="577">
        <f t="shared" si="6"/>
        <v>32.576000000000008</v>
      </c>
      <c r="R16" s="577">
        <f t="shared" si="7"/>
        <v>153.32808694823541</v>
      </c>
      <c r="S16" s="577">
        <f t="shared" si="8"/>
        <v>185.90408694823543</v>
      </c>
      <c r="T16" s="573" t="s">
        <v>951</v>
      </c>
      <c r="U16" s="573">
        <f t="shared" si="9"/>
        <v>1798</v>
      </c>
      <c r="V16" s="573">
        <f t="shared" si="10"/>
        <v>1798</v>
      </c>
    </row>
    <row r="17" spans="1:22" ht="14.25">
      <c r="A17" s="575">
        <v>4</v>
      </c>
      <c r="B17" s="576" t="s">
        <v>915</v>
      </c>
      <c r="C17" s="573">
        <v>1283</v>
      </c>
      <c r="D17" s="573">
        <v>1262</v>
      </c>
      <c r="E17" s="577">
        <f t="shared" si="0"/>
        <v>77.259999999999991</v>
      </c>
      <c r="F17" s="577">
        <f t="shared" si="1"/>
        <v>306.31850801312703</v>
      </c>
      <c r="G17" s="577">
        <f t="shared" si="2"/>
        <v>383.57850801312702</v>
      </c>
      <c r="H17" s="577">
        <v>0</v>
      </c>
      <c r="I17" s="577">
        <v>43.628508013127032</v>
      </c>
      <c r="J17" s="577">
        <f t="shared" si="3"/>
        <v>43.628508013127032</v>
      </c>
      <c r="K17" s="577">
        <v>77.259999999999991</v>
      </c>
      <c r="L17" s="577">
        <v>262.69</v>
      </c>
      <c r="M17" s="577">
        <f t="shared" si="4"/>
        <v>339.95</v>
      </c>
      <c r="N17" s="577">
        <v>53.886000000000003</v>
      </c>
      <c r="O17" s="577">
        <v>183.309</v>
      </c>
      <c r="P17" s="577">
        <f t="shared" si="5"/>
        <v>237.19499999999999</v>
      </c>
      <c r="Q17" s="577">
        <f t="shared" si="6"/>
        <v>23.373999999999988</v>
      </c>
      <c r="R17" s="577">
        <f t="shared" si="7"/>
        <v>123.00950801312703</v>
      </c>
      <c r="S17" s="577">
        <f t="shared" si="8"/>
        <v>146.38350801312703</v>
      </c>
      <c r="T17" s="573" t="s">
        <v>951</v>
      </c>
      <c r="U17" s="573">
        <f t="shared" si="9"/>
        <v>1262</v>
      </c>
      <c r="V17" s="573">
        <f t="shared" si="10"/>
        <v>1262</v>
      </c>
    </row>
    <row r="18" spans="1:22" ht="14.25">
      <c r="A18" s="575">
        <v>5</v>
      </c>
      <c r="B18" s="576" t="s">
        <v>916</v>
      </c>
      <c r="C18" s="573">
        <v>1362</v>
      </c>
      <c r="D18" s="573">
        <v>1163</v>
      </c>
      <c r="E18" s="577">
        <f t="shared" si="0"/>
        <v>81.209999999999994</v>
      </c>
      <c r="F18" s="577">
        <f t="shared" si="1"/>
        <v>284.52219558023535</v>
      </c>
      <c r="G18" s="577">
        <f t="shared" si="2"/>
        <v>365.73219558023533</v>
      </c>
      <c r="H18" s="577">
        <v>0</v>
      </c>
      <c r="I18" s="577">
        <v>3.8621955802353796</v>
      </c>
      <c r="J18" s="577">
        <f t="shared" si="3"/>
        <v>3.8621955802353796</v>
      </c>
      <c r="K18" s="577">
        <v>81.209999999999994</v>
      </c>
      <c r="L18" s="577">
        <v>280.65999999999997</v>
      </c>
      <c r="M18" s="577">
        <f t="shared" si="4"/>
        <v>361.86999999999995</v>
      </c>
      <c r="N18" s="577">
        <v>57.204000000000001</v>
      </c>
      <c r="O18" s="577">
        <v>196.96600000000001</v>
      </c>
      <c r="P18" s="577">
        <f t="shared" si="5"/>
        <v>254.17000000000002</v>
      </c>
      <c r="Q18" s="577">
        <f t="shared" si="6"/>
        <v>24.005999999999993</v>
      </c>
      <c r="R18" s="577">
        <f t="shared" si="7"/>
        <v>87.55619558023534</v>
      </c>
      <c r="S18" s="577">
        <f t="shared" si="8"/>
        <v>111.56219558023534</v>
      </c>
      <c r="T18" s="573" t="s">
        <v>951</v>
      </c>
      <c r="U18" s="573">
        <f t="shared" si="9"/>
        <v>1163</v>
      </c>
      <c r="V18" s="573">
        <f t="shared" si="10"/>
        <v>1163</v>
      </c>
    </row>
    <row r="19" spans="1:22" ht="14.25">
      <c r="A19" s="575">
        <v>6</v>
      </c>
      <c r="B19" s="576" t="s">
        <v>917</v>
      </c>
      <c r="C19" s="573">
        <v>758</v>
      </c>
      <c r="D19" s="573">
        <v>872</v>
      </c>
      <c r="E19" s="577">
        <f t="shared" si="0"/>
        <v>45.29</v>
      </c>
      <c r="F19" s="577">
        <f t="shared" si="1"/>
        <v>200.8606090442353</v>
      </c>
      <c r="G19" s="577">
        <f t="shared" si="2"/>
        <v>246.1506090442353</v>
      </c>
      <c r="H19" s="577">
        <v>0</v>
      </c>
      <c r="I19" s="577">
        <v>45.120609044235295</v>
      </c>
      <c r="J19" s="577">
        <f t="shared" si="3"/>
        <v>45.120609044235295</v>
      </c>
      <c r="K19" s="577">
        <v>45.29</v>
      </c>
      <c r="L19" s="577">
        <v>155.74</v>
      </c>
      <c r="M19" s="577">
        <f t="shared" si="4"/>
        <v>201.03</v>
      </c>
      <c r="N19" s="577">
        <v>31.835999999999999</v>
      </c>
      <c r="O19" s="577">
        <v>109.76</v>
      </c>
      <c r="P19" s="577">
        <f t="shared" si="5"/>
        <v>141.596</v>
      </c>
      <c r="Q19" s="577">
        <f t="shared" si="6"/>
        <v>13.454000000000001</v>
      </c>
      <c r="R19" s="577">
        <f t="shared" si="7"/>
        <v>91.100609044235298</v>
      </c>
      <c r="S19" s="577">
        <f t="shared" si="8"/>
        <v>104.55460904423529</v>
      </c>
      <c r="T19" s="573" t="s">
        <v>951</v>
      </c>
      <c r="U19" s="573">
        <f t="shared" si="9"/>
        <v>872</v>
      </c>
      <c r="V19" s="573">
        <f t="shared" si="10"/>
        <v>872</v>
      </c>
    </row>
    <row r="20" spans="1:22" ht="14.25">
      <c r="A20" s="575">
        <v>7</v>
      </c>
      <c r="B20" s="576" t="s">
        <v>918</v>
      </c>
      <c r="C20" s="573">
        <v>1280</v>
      </c>
      <c r="D20" s="573">
        <v>933</v>
      </c>
      <c r="E20" s="577">
        <f t="shared" si="0"/>
        <v>77.06</v>
      </c>
      <c r="F20" s="577">
        <f t="shared" si="1"/>
        <v>282.16835607623528</v>
      </c>
      <c r="G20" s="577">
        <f t="shared" si="2"/>
        <v>359.22835607623529</v>
      </c>
      <c r="H20" s="577">
        <v>0</v>
      </c>
      <c r="I20" s="577">
        <v>17.078356076235309</v>
      </c>
      <c r="J20" s="577">
        <f t="shared" si="3"/>
        <v>17.078356076235309</v>
      </c>
      <c r="K20" s="577">
        <v>77.06</v>
      </c>
      <c r="L20" s="577">
        <v>265.08999999999997</v>
      </c>
      <c r="M20" s="577">
        <f t="shared" si="4"/>
        <v>342.15</v>
      </c>
      <c r="N20" s="577">
        <v>53.76</v>
      </c>
      <c r="O20" s="577">
        <v>184.81399999999999</v>
      </c>
      <c r="P20" s="577">
        <f t="shared" si="5"/>
        <v>238.57399999999998</v>
      </c>
      <c r="Q20" s="577">
        <f t="shared" si="6"/>
        <v>23.300000000000004</v>
      </c>
      <c r="R20" s="577">
        <f t="shared" si="7"/>
        <v>97.354356076235291</v>
      </c>
      <c r="S20" s="577">
        <f t="shared" si="8"/>
        <v>120.6543560762353</v>
      </c>
      <c r="T20" s="573" t="s">
        <v>951</v>
      </c>
      <c r="U20" s="573">
        <f t="shared" si="9"/>
        <v>933</v>
      </c>
      <c r="V20" s="573">
        <f t="shared" si="10"/>
        <v>933</v>
      </c>
    </row>
    <row r="21" spans="1:22" ht="14.25">
      <c r="A21" s="575">
        <v>8</v>
      </c>
      <c r="B21" s="576" t="s">
        <v>919</v>
      </c>
      <c r="C21" s="573">
        <v>1679</v>
      </c>
      <c r="D21" s="573">
        <v>1818</v>
      </c>
      <c r="E21" s="577">
        <f t="shared" si="0"/>
        <v>100.63</v>
      </c>
      <c r="F21" s="577">
        <f t="shared" si="1"/>
        <v>402.84605794823534</v>
      </c>
      <c r="G21" s="577">
        <f t="shared" si="2"/>
        <v>503.47605794823534</v>
      </c>
      <c r="H21" s="577">
        <v>0</v>
      </c>
      <c r="I21" s="577">
        <v>56.506057948235366</v>
      </c>
      <c r="J21" s="577">
        <f t="shared" si="3"/>
        <v>56.506057948235366</v>
      </c>
      <c r="K21" s="577">
        <v>100.63</v>
      </c>
      <c r="L21" s="577">
        <v>346.34</v>
      </c>
      <c r="M21" s="577">
        <f t="shared" si="4"/>
        <v>446.96999999999997</v>
      </c>
      <c r="N21" s="577">
        <v>70.518000000000001</v>
      </c>
      <c r="O21" s="577">
        <v>243.096</v>
      </c>
      <c r="P21" s="577">
        <f t="shared" si="5"/>
        <v>313.61400000000003</v>
      </c>
      <c r="Q21" s="577">
        <f t="shared" si="6"/>
        <v>30.111999999999995</v>
      </c>
      <c r="R21" s="577">
        <f t="shared" si="7"/>
        <v>159.75005794823534</v>
      </c>
      <c r="S21" s="577">
        <f t="shared" si="8"/>
        <v>189.86205794823533</v>
      </c>
      <c r="T21" s="573" t="s">
        <v>951</v>
      </c>
      <c r="U21" s="573">
        <f t="shared" si="9"/>
        <v>1818</v>
      </c>
      <c r="V21" s="573">
        <f t="shared" si="10"/>
        <v>1818</v>
      </c>
    </row>
    <row r="22" spans="1:22" ht="14.25">
      <c r="A22" s="575">
        <v>9</v>
      </c>
      <c r="B22" s="576" t="s">
        <v>920</v>
      </c>
      <c r="C22" s="573">
        <v>1486</v>
      </c>
      <c r="D22" s="573">
        <v>1534</v>
      </c>
      <c r="E22" s="577">
        <f t="shared" si="0"/>
        <v>89.289999999999992</v>
      </c>
      <c r="F22" s="577">
        <f t="shared" si="1"/>
        <v>313.50099670000014</v>
      </c>
      <c r="G22" s="577">
        <f t="shared" si="2"/>
        <v>402.79099670000016</v>
      </c>
      <c r="H22" s="577">
        <v>0</v>
      </c>
      <c r="I22" s="577">
        <v>6.9609967000001234</v>
      </c>
      <c r="J22" s="577">
        <f t="shared" si="3"/>
        <v>6.9609967000001234</v>
      </c>
      <c r="K22" s="577">
        <v>89.289999999999992</v>
      </c>
      <c r="L22" s="577">
        <v>306.54000000000002</v>
      </c>
      <c r="M22" s="577">
        <f t="shared" si="4"/>
        <v>395.83000000000004</v>
      </c>
      <c r="N22" s="577">
        <v>62.411999999999999</v>
      </c>
      <c r="O22" s="577">
        <v>214.26300000000001</v>
      </c>
      <c r="P22" s="577">
        <f t="shared" si="5"/>
        <v>276.67500000000001</v>
      </c>
      <c r="Q22" s="577">
        <f t="shared" si="6"/>
        <v>26.877999999999993</v>
      </c>
      <c r="R22" s="577">
        <f t="shared" si="7"/>
        <v>99.237996700000139</v>
      </c>
      <c r="S22" s="577">
        <f t="shared" si="8"/>
        <v>126.11599670000012</v>
      </c>
      <c r="T22" s="573" t="s">
        <v>951</v>
      </c>
      <c r="U22" s="573">
        <f t="shared" si="9"/>
        <v>1534</v>
      </c>
      <c r="V22" s="573">
        <f t="shared" si="10"/>
        <v>1534</v>
      </c>
    </row>
    <row r="23" spans="1:22" ht="14.25">
      <c r="A23" s="575">
        <v>10</v>
      </c>
      <c r="B23" s="576" t="s">
        <v>921</v>
      </c>
      <c r="C23" s="573">
        <v>1841</v>
      </c>
      <c r="D23" s="573">
        <v>1596</v>
      </c>
      <c r="E23" s="577">
        <f t="shared" si="0"/>
        <v>110.6</v>
      </c>
      <c r="F23" s="577">
        <f t="shared" si="1"/>
        <v>412.82403800295288</v>
      </c>
      <c r="G23" s="577">
        <f t="shared" si="2"/>
        <v>523.4240380029529</v>
      </c>
      <c r="H23" s="577">
        <v>0</v>
      </c>
      <c r="I23" s="577">
        <v>30.94403800295288</v>
      </c>
      <c r="J23" s="577">
        <f t="shared" si="3"/>
        <v>30.94403800295288</v>
      </c>
      <c r="K23" s="577">
        <v>110.6</v>
      </c>
      <c r="L23" s="577">
        <v>381.88</v>
      </c>
      <c r="M23" s="577">
        <f t="shared" si="4"/>
        <v>492.48</v>
      </c>
      <c r="N23" s="577">
        <v>77.322000000000003</v>
      </c>
      <c r="O23" s="577">
        <v>267.46300000000002</v>
      </c>
      <c r="P23" s="577">
        <f t="shared" si="5"/>
        <v>344.78500000000003</v>
      </c>
      <c r="Q23" s="577">
        <f t="shared" si="6"/>
        <v>33.277999999999992</v>
      </c>
      <c r="R23" s="577">
        <f t="shared" si="7"/>
        <v>145.36103800295285</v>
      </c>
      <c r="S23" s="577">
        <f t="shared" si="8"/>
        <v>178.63903800295284</v>
      </c>
      <c r="T23" s="573" t="s">
        <v>951</v>
      </c>
      <c r="U23" s="573">
        <f t="shared" si="9"/>
        <v>1596</v>
      </c>
      <c r="V23" s="573">
        <f t="shared" si="10"/>
        <v>1596</v>
      </c>
    </row>
    <row r="24" spans="1:22" ht="14.25">
      <c r="A24" s="575">
        <v>11</v>
      </c>
      <c r="B24" s="576" t="s">
        <v>922</v>
      </c>
      <c r="C24" s="573">
        <v>1034</v>
      </c>
      <c r="D24" s="573">
        <v>916</v>
      </c>
      <c r="E24" s="577">
        <f t="shared" si="0"/>
        <v>62.040000000000006</v>
      </c>
      <c r="F24" s="577">
        <f t="shared" si="1"/>
        <v>252.2222369101174</v>
      </c>
      <c r="G24" s="577">
        <f t="shared" si="2"/>
        <v>314.26223691011739</v>
      </c>
      <c r="H24" s="577">
        <v>0</v>
      </c>
      <c r="I24" s="577">
        <v>36.742236910117384</v>
      </c>
      <c r="J24" s="577">
        <f t="shared" si="3"/>
        <v>36.742236910117384</v>
      </c>
      <c r="K24" s="577">
        <v>62.040000000000006</v>
      </c>
      <c r="L24" s="577">
        <v>215.48000000000002</v>
      </c>
      <c r="M24" s="577">
        <f t="shared" si="4"/>
        <v>277.52000000000004</v>
      </c>
      <c r="N24" s="577">
        <v>43.427999999999997</v>
      </c>
      <c r="O24" s="577">
        <v>150.44399999999999</v>
      </c>
      <c r="P24" s="577">
        <f t="shared" si="5"/>
        <v>193.87199999999999</v>
      </c>
      <c r="Q24" s="577">
        <f t="shared" si="6"/>
        <v>18.612000000000009</v>
      </c>
      <c r="R24" s="577">
        <f t="shared" si="7"/>
        <v>101.77823691011741</v>
      </c>
      <c r="S24" s="577">
        <f t="shared" si="8"/>
        <v>120.39023691011742</v>
      </c>
      <c r="T24" s="573" t="s">
        <v>951</v>
      </c>
      <c r="U24" s="573">
        <f t="shared" si="9"/>
        <v>916</v>
      </c>
      <c r="V24" s="573">
        <f t="shared" si="10"/>
        <v>916</v>
      </c>
    </row>
    <row r="25" spans="1:22" ht="14.25">
      <c r="A25" s="575">
        <v>12</v>
      </c>
      <c r="B25" s="576" t="s">
        <v>923</v>
      </c>
      <c r="C25" s="573">
        <v>1986</v>
      </c>
      <c r="D25" s="573">
        <v>1530</v>
      </c>
      <c r="E25" s="577">
        <f t="shared" si="0"/>
        <v>118.78</v>
      </c>
      <c r="F25" s="577">
        <f t="shared" si="1"/>
        <v>511.6051195071849</v>
      </c>
      <c r="G25" s="577">
        <f t="shared" si="2"/>
        <v>630.38511950718487</v>
      </c>
      <c r="H25" s="577">
        <v>0</v>
      </c>
      <c r="I25" s="577">
        <v>105.75511950718487</v>
      </c>
      <c r="J25" s="577">
        <f t="shared" si="3"/>
        <v>105.75511950718487</v>
      </c>
      <c r="K25" s="577">
        <v>118.78</v>
      </c>
      <c r="L25" s="577">
        <v>405.85</v>
      </c>
      <c r="M25" s="577">
        <f t="shared" si="4"/>
        <v>524.63</v>
      </c>
      <c r="N25" s="577">
        <v>83.412000000000006</v>
      </c>
      <c r="O25" s="577">
        <v>285.35500000000002</v>
      </c>
      <c r="P25" s="577">
        <f t="shared" si="5"/>
        <v>368.76700000000005</v>
      </c>
      <c r="Q25" s="577">
        <f t="shared" si="6"/>
        <v>35.367999999999995</v>
      </c>
      <c r="R25" s="577">
        <f t="shared" si="7"/>
        <v>226.25011950718488</v>
      </c>
      <c r="S25" s="577">
        <f t="shared" si="8"/>
        <v>261.61811950718487</v>
      </c>
      <c r="T25" s="573" t="s">
        <v>951</v>
      </c>
      <c r="U25" s="573">
        <f t="shared" si="9"/>
        <v>1530</v>
      </c>
      <c r="V25" s="573">
        <f t="shared" si="10"/>
        <v>1530</v>
      </c>
    </row>
    <row r="26" spans="1:22" ht="14.25">
      <c r="A26" s="575">
        <v>13</v>
      </c>
      <c r="B26" s="576" t="s">
        <v>924</v>
      </c>
      <c r="C26" s="573">
        <v>1047</v>
      </c>
      <c r="D26" s="573">
        <v>923</v>
      </c>
      <c r="E26" s="577">
        <f t="shared" si="0"/>
        <v>62.930000000000007</v>
      </c>
      <c r="F26" s="577">
        <f t="shared" si="1"/>
        <v>255.47608996423529</v>
      </c>
      <c r="G26" s="577">
        <f t="shared" si="2"/>
        <v>318.40608996423532</v>
      </c>
      <c r="H26" s="577">
        <v>0</v>
      </c>
      <c r="I26" s="577">
        <v>38.256089964235315</v>
      </c>
      <c r="J26" s="577">
        <f t="shared" si="3"/>
        <v>38.256089964235315</v>
      </c>
      <c r="K26" s="577">
        <v>62.930000000000007</v>
      </c>
      <c r="L26" s="577">
        <v>217.21999999999997</v>
      </c>
      <c r="M26" s="577">
        <f t="shared" si="4"/>
        <v>280.14999999999998</v>
      </c>
      <c r="N26" s="577">
        <v>43.973999999999997</v>
      </c>
      <c r="O26" s="577">
        <v>152.24299999999999</v>
      </c>
      <c r="P26" s="577">
        <f t="shared" si="5"/>
        <v>196.21699999999998</v>
      </c>
      <c r="Q26" s="577">
        <f t="shared" si="6"/>
        <v>18.95600000000001</v>
      </c>
      <c r="R26" s="577">
        <f t="shared" si="7"/>
        <v>103.23308996423529</v>
      </c>
      <c r="S26" s="577">
        <f t="shared" si="8"/>
        <v>122.18908996423531</v>
      </c>
      <c r="T26" s="573" t="s">
        <v>951</v>
      </c>
      <c r="U26" s="573">
        <f t="shared" si="9"/>
        <v>923</v>
      </c>
      <c r="V26" s="573">
        <f t="shared" si="10"/>
        <v>923</v>
      </c>
    </row>
    <row r="27" spans="1:22" ht="14.25">
      <c r="A27" s="575">
        <v>14</v>
      </c>
      <c r="B27" s="576" t="s">
        <v>925</v>
      </c>
      <c r="C27" s="573">
        <v>603</v>
      </c>
      <c r="D27" s="573">
        <v>477</v>
      </c>
      <c r="E27" s="577">
        <f t="shared" si="0"/>
        <v>36.200000000000003</v>
      </c>
      <c r="F27" s="577">
        <f t="shared" si="1"/>
        <v>170.30768522823533</v>
      </c>
      <c r="G27" s="577">
        <f t="shared" si="2"/>
        <v>206.50768522823535</v>
      </c>
      <c r="H27" s="577">
        <v>0</v>
      </c>
      <c r="I27" s="577">
        <v>46.487685228235335</v>
      </c>
      <c r="J27" s="577">
        <f t="shared" si="3"/>
        <v>46.487685228235335</v>
      </c>
      <c r="K27" s="577">
        <v>36.200000000000003</v>
      </c>
      <c r="L27" s="577">
        <v>123.82</v>
      </c>
      <c r="M27" s="577">
        <f t="shared" si="4"/>
        <v>160.01999999999998</v>
      </c>
      <c r="N27" s="577">
        <v>25.326000000000001</v>
      </c>
      <c r="O27" s="577">
        <v>86.765000000000001</v>
      </c>
      <c r="P27" s="577">
        <f t="shared" si="5"/>
        <v>112.09100000000001</v>
      </c>
      <c r="Q27" s="577">
        <f t="shared" si="6"/>
        <v>10.874000000000002</v>
      </c>
      <c r="R27" s="577">
        <f t="shared" si="7"/>
        <v>83.542685228235328</v>
      </c>
      <c r="S27" s="577">
        <f t="shared" si="8"/>
        <v>94.416685228235337</v>
      </c>
      <c r="T27" s="573" t="s">
        <v>951</v>
      </c>
      <c r="U27" s="573">
        <f t="shared" si="9"/>
        <v>477</v>
      </c>
      <c r="V27" s="573">
        <f t="shared" si="10"/>
        <v>477</v>
      </c>
    </row>
    <row r="28" spans="1:22" ht="14.25">
      <c r="A28" s="575">
        <v>15</v>
      </c>
      <c r="B28" s="576" t="s">
        <v>926</v>
      </c>
      <c r="C28" s="573">
        <v>142</v>
      </c>
      <c r="D28" s="573">
        <v>142</v>
      </c>
      <c r="E28" s="577">
        <f t="shared" si="0"/>
        <v>8.4600000000000009</v>
      </c>
      <c r="F28" s="577">
        <f t="shared" si="1"/>
        <v>42.14581332823532</v>
      </c>
      <c r="G28" s="577">
        <f t="shared" si="2"/>
        <v>50.605813328235321</v>
      </c>
      <c r="H28" s="577">
        <v>0</v>
      </c>
      <c r="I28" s="577">
        <v>12.445813328235317</v>
      </c>
      <c r="J28" s="577">
        <f t="shared" si="3"/>
        <v>12.445813328235317</v>
      </c>
      <c r="K28" s="577">
        <v>8.4600000000000009</v>
      </c>
      <c r="L28" s="577">
        <v>29.700000000000003</v>
      </c>
      <c r="M28" s="577">
        <f t="shared" si="4"/>
        <v>38.160000000000004</v>
      </c>
      <c r="N28" s="577">
        <v>5.9640000000000004</v>
      </c>
      <c r="O28" s="577">
        <v>20.727</v>
      </c>
      <c r="P28" s="577">
        <f t="shared" si="5"/>
        <v>26.691000000000003</v>
      </c>
      <c r="Q28" s="577">
        <f t="shared" si="6"/>
        <v>2.4960000000000004</v>
      </c>
      <c r="R28" s="577">
        <f t="shared" si="7"/>
        <v>21.41881332823532</v>
      </c>
      <c r="S28" s="577">
        <f t="shared" si="8"/>
        <v>23.914813328235319</v>
      </c>
      <c r="T28" s="573" t="s">
        <v>951</v>
      </c>
      <c r="U28" s="573">
        <f t="shared" si="9"/>
        <v>142</v>
      </c>
      <c r="V28" s="573">
        <f t="shared" si="10"/>
        <v>142</v>
      </c>
    </row>
    <row r="29" spans="1:22" ht="14.25">
      <c r="A29" s="575">
        <v>16</v>
      </c>
      <c r="B29" s="576" t="s">
        <v>927</v>
      </c>
      <c r="C29" s="573">
        <v>1486</v>
      </c>
      <c r="D29" s="573">
        <v>1396</v>
      </c>
      <c r="E29" s="577">
        <f t="shared" si="0"/>
        <v>89.05</v>
      </c>
      <c r="F29" s="577">
        <f t="shared" si="1"/>
        <v>352.23450452823522</v>
      </c>
      <c r="G29" s="577">
        <f t="shared" si="2"/>
        <v>441.28450452823523</v>
      </c>
      <c r="H29" s="577">
        <v>0</v>
      </c>
      <c r="I29" s="577">
        <v>42.064504528235261</v>
      </c>
      <c r="J29" s="577">
        <f t="shared" si="3"/>
        <v>42.064504528235261</v>
      </c>
      <c r="K29" s="577">
        <v>89.05</v>
      </c>
      <c r="L29" s="577">
        <v>310.16999999999996</v>
      </c>
      <c r="M29" s="577">
        <f t="shared" si="4"/>
        <v>399.21999999999997</v>
      </c>
      <c r="N29" s="577">
        <v>62.411999999999999</v>
      </c>
      <c r="O29" s="577">
        <v>216.636</v>
      </c>
      <c r="P29" s="577">
        <f t="shared" si="5"/>
        <v>279.048</v>
      </c>
      <c r="Q29" s="577">
        <f t="shared" si="6"/>
        <v>26.637999999999998</v>
      </c>
      <c r="R29" s="577">
        <f t="shared" si="7"/>
        <v>135.59850452823522</v>
      </c>
      <c r="S29" s="577">
        <f t="shared" si="8"/>
        <v>162.23650452823523</v>
      </c>
      <c r="T29" s="573" t="s">
        <v>951</v>
      </c>
      <c r="U29" s="573">
        <f t="shared" si="9"/>
        <v>1396</v>
      </c>
      <c r="V29" s="573">
        <f t="shared" si="10"/>
        <v>1396</v>
      </c>
    </row>
    <row r="30" spans="1:22" ht="14.25">
      <c r="A30" s="575">
        <v>17</v>
      </c>
      <c r="B30" s="576" t="s">
        <v>928</v>
      </c>
      <c r="C30" s="573">
        <v>938</v>
      </c>
      <c r="D30" s="573">
        <v>869</v>
      </c>
      <c r="E30" s="577">
        <f t="shared" si="0"/>
        <v>56.58</v>
      </c>
      <c r="F30" s="577">
        <f t="shared" si="1"/>
        <v>233.66233340223528</v>
      </c>
      <c r="G30" s="577">
        <f t="shared" si="2"/>
        <v>290.24233340223526</v>
      </c>
      <c r="H30" s="577">
        <v>0</v>
      </c>
      <c r="I30" s="577">
        <v>38.672333402235267</v>
      </c>
      <c r="J30" s="577">
        <f t="shared" si="3"/>
        <v>38.672333402235267</v>
      </c>
      <c r="K30" s="577">
        <v>56.58</v>
      </c>
      <c r="L30" s="577">
        <v>194.99</v>
      </c>
      <c r="M30" s="577">
        <f t="shared" si="4"/>
        <v>251.57</v>
      </c>
      <c r="N30" s="577">
        <v>39.396000000000001</v>
      </c>
      <c r="O30" s="577">
        <v>136.108</v>
      </c>
      <c r="P30" s="577">
        <f t="shared" si="5"/>
        <v>175.50400000000002</v>
      </c>
      <c r="Q30" s="577">
        <f t="shared" si="6"/>
        <v>17.183999999999997</v>
      </c>
      <c r="R30" s="577">
        <f t="shared" si="7"/>
        <v>97.554333402235272</v>
      </c>
      <c r="S30" s="577">
        <f t="shared" si="8"/>
        <v>114.73833340223527</v>
      </c>
      <c r="T30" s="573" t="s">
        <v>951</v>
      </c>
      <c r="U30" s="573">
        <f t="shared" si="9"/>
        <v>869</v>
      </c>
      <c r="V30" s="573">
        <f t="shared" si="10"/>
        <v>869</v>
      </c>
    </row>
    <row r="31" spans="1:22" ht="14.25">
      <c r="A31" s="575">
        <v>18</v>
      </c>
      <c r="B31" s="576" t="s">
        <v>929</v>
      </c>
      <c r="C31" s="573">
        <v>712</v>
      </c>
      <c r="D31" s="573">
        <v>332</v>
      </c>
      <c r="E31" s="577">
        <f t="shared" si="0"/>
        <v>42.56</v>
      </c>
      <c r="F31" s="577">
        <f t="shared" si="1"/>
        <v>241.98054502423528</v>
      </c>
      <c r="G31" s="577">
        <f t="shared" si="2"/>
        <v>284.54054502423526</v>
      </c>
      <c r="H31" s="577">
        <v>0</v>
      </c>
      <c r="I31" s="577">
        <v>96.610545024235279</v>
      </c>
      <c r="J31" s="577">
        <f t="shared" si="3"/>
        <v>96.610545024235279</v>
      </c>
      <c r="K31" s="577">
        <v>42.56</v>
      </c>
      <c r="L31" s="577">
        <v>145.37</v>
      </c>
      <c r="M31" s="577">
        <f t="shared" si="4"/>
        <v>187.93</v>
      </c>
      <c r="N31" s="577">
        <v>29.904</v>
      </c>
      <c r="O31" s="577">
        <v>102.30500000000001</v>
      </c>
      <c r="P31" s="577">
        <f t="shared" si="5"/>
        <v>132.209</v>
      </c>
      <c r="Q31" s="577">
        <f t="shared" si="6"/>
        <v>12.656000000000002</v>
      </c>
      <c r="R31" s="577">
        <f t="shared" si="7"/>
        <v>139.67554502423528</v>
      </c>
      <c r="S31" s="577">
        <f t="shared" si="8"/>
        <v>152.33154502423528</v>
      </c>
      <c r="T31" s="573" t="s">
        <v>951</v>
      </c>
      <c r="U31" s="573">
        <f t="shared" si="9"/>
        <v>332</v>
      </c>
      <c r="V31" s="573">
        <f t="shared" si="10"/>
        <v>332</v>
      </c>
    </row>
    <row r="32" spans="1:22" ht="14.25">
      <c r="A32" s="575">
        <v>19</v>
      </c>
      <c r="B32" s="576" t="s">
        <v>930</v>
      </c>
      <c r="C32" s="573">
        <v>735</v>
      </c>
      <c r="D32" s="573">
        <v>689</v>
      </c>
      <c r="E32" s="577">
        <f t="shared" si="0"/>
        <v>43.83</v>
      </c>
      <c r="F32" s="577">
        <f t="shared" si="1"/>
        <v>171.6411374322353</v>
      </c>
      <c r="G32" s="577">
        <f t="shared" si="2"/>
        <v>215.47113743223531</v>
      </c>
      <c r="H32" s="577">
        <v>0</v>
      </c>
      <c r="I32" s="577">
        <v>21.561137432235313</v>
      </c>
      <c r="J32" s="577">
        <f t="shared" si="3"/>
        <v>21.561137432235313</v>
      </c>
      <c r="K32" s="577">
        <v>43.83</v>
      </c>
      <c r="L32" s="577">
        <v>150.07999999999998</v>
      </c>
      <c r="M32" s="577">
        <f t="shared" si="4"/>
        <v>193.90999999999997</v>
      </c>
      <c r="N32" s="577">
        <v>30.87</v>
      </c>
      <c r="O32" s="577">
        <v>105.7</v>
      </c>
      <c r="P32" s="577">
        <f t="shared" si="5"/>
        <v>136.57</v>
      </c>
      <c r="Q32" s="577">
        <f t="shared" si="6"/>
        <v>12.959999999999997</v>
      </c>
      <c r="R32" s="577">
        <f t="shared" si="7"/>
        <v>65.941137432235294</v>
      </c>
      <c r="S32" s="577">
        <f t="shared" si="8"/>
        <v>78.901137432235288</v>
      </c>
      <c r="T32" s="573" t="s">
        <v>951</v>
      </c>
      <c r="U32" s="573">
        <f t="shared" si="9"/>
        <v>689</v>
      </c>
      <c r="V32" s="573">
        <f t="shared" si="10"/>
        <v>689</v>
      </c>
    </row>
    <row r="33" spans="1:22" ht="14.25">
      <c r="A33" s="575">
        <v>20</v>
      </c>
      <c r="B33" s="576" t="s">
        <v>931</v>
      </c>
      <c r="C33" s="573">
        <v>1289</v>
      </c>
      <c r="D33" s="573">
        <v>930</v>
      </c>
      <c r="E33" s="577">
        <f t="shared" si="0"/>
        <v>76.97</v>
      </c>
      <c r="F33" s="577">
        <f t="shared" si="1"/>
        <v>306.22373029583542</v>
      </c>
      <c r="G33" s="577">
        <f t="shared" si="2"/>
        <v>383.19373029583539</v>
      </c>
      <c r="H33" s="577">
        <v>0</v>
      </c>
      <c r="I33" s="577">
        <v>49.513730295835387</v>
      </c>
      <c r="J33" s="577">
        <f t="shared" si="3"/>
        <v>49.513730295835387</v>
      </c>
      <c r="K33" s="577">
        <v>76.97</v>
      </c>
      <c r="L33" s="577">
        <v>256.71000000000004</v>
      </c>
      <c r="M33" s="577">
        <f t="shared" si="4"/>
        <v>333.68000000000006</v>
      </c>
      <c r="N33" s="577">
        <v>54.137999999999998</v>
      </c>
      <c r="O33" s="577">
        <v>180.46</v>
      </c>
      <c r="P33" s="577">
        <f t="shared" si="5"/>
        <v>234.59800000000001</v>
      </c>
      <c r="Q33" s="577">
        <f t="shared" si="6"/>
        <v>22.832000000000001</v>
      </c>
      <c r="R33" s="577">
        <f t="shared" si="7"/>
        <v>125.76373029583542</v>
      </c>
      <c r="S33" s="577">
        <f t="shared" si="8"/>
        <v>148.59573029583541</v>
      </c>
      <c r="T33" s="573" t="s">
        <v>951</v>
      </c>
      <c r="U33" s="573">
        <f t="shared" si="9"/>
        <v>930</v>
      </c>
      <c r="V33" s="573">
        <f t="shared" si="10"/>
        <v>930</v>
      </c>
    </row>
    <row r="34" spans="1:22" ht="14.25">
      <c r="A34" s="575">
        <v>21</v>
      </c>
      <c r="B34" s="576" t="s">
        <v>932</v>
      </c>
      <c r="C34" s="573">
        <v>599</v>
      </c>
      <c r="D34" s="573">
        <v>599</v>
      </c>
      <c r="E34" s="577">
        <f t="shared" si="0"/>
        <v>36.15</v>
      </c>
      <c r="F34" s="577">
        <f t="shared" si="1"/>
        <v>136.55926983823537</v>
      </c>
      <c r="G34" s="577">
        <f t="shared" si="2"/>
        <v>172.70926983823537</v>
      </c>
      <c r="H34" s="577">
        <v>0</v>
      </c>
      <c r="I34" s="577">
        <v>12.079269838235334</v>
      </c>
      <c r="J34" s="577">
        <f t="shared" si="3"/>
        <v>12.079269838235334</v>
      </c>
      <c r="K34" s="577">
        <v>36.15</v>
      </c>
      <c r="L34" s="577">
        <v>124.48000000000002</v>
      </c>
      <c r="M34" s="577">
        <f t="shared" si="4"/>
        <v>160.63000000000002</v>
      </c>
      <c r="N34" s="577">
        <v>25.158000000000001</v>
      </c>
      <c r="O34" s="577">
        <v>86.73</v>
      </c>
      <c r="P34" s="577">
        <f t="shared" si="5"/>
        <v>111.88800000000001</v>
      </c>
      <c r="Q34" s="577">
        <f t="shared" si="6"/>
        <v>10.991999999999997</v>
      </c>
      <c r="R34" s="577">
        <f t="shared" si="7"/>
        <v>49.829269838235362</v>
      </c>
      <c r="S34" s="577">
        <f t="shared" si="8"/>
        <v>60.821269838235359</v>
      </c>
      <c r="T34" s="573" t="s">
        <v>951</v>
      </c>
      <c r="U34" s="573">
        <f t="shared" si="9"/>
        <v>599</v>
      </c>
      <c r="V34" s="573">
        <f t="shared" si="10"/>
        <v>599</v>
      </c>
    </row>
    <row r="35" spans="1:22" ht="14.25">
      <c r="A35" s="575">
        <v>22</v>
      </c>
      <c r="B35" s="576" t="s">
        <v>933</v>
      </c>
      <c r="C35" s="573">
        <v>886</v>
      </c>
      <c r="D35" s="573">
        <v>886</v>
      </c>
      <c r="E35" s="577">
        <f t="shared" si="0"/>
        <v>53.08</v>
      </c>
      <c r="F35" s="577">
        <f t="shared" si="1"/>
        <v>204.9125910731853</v>
      </c>
      <c r="G35" s="577">
        <f t="shared" si="2"/>
        <v>257.99259107318528</v>
      </c>
      <c r="H35" s="577">
        <v>0</v>
      </c>
      <c r="I35" s="577">
        <v>22.23259107318529</v>
      </c>
      <c r="J35" s="577">
        <f t="shared" si="3"/>
        <v>22.23259107318529</v>
      </c>
      <c r="K35" s="577">
        <v>53.08</v>
      </c>
      <c r="L35" s="577">
        <v>182.68</v>
      </c>
      <c r="M35" s="577">
        <f t="shared" si="4"/>
        <v>235.76</v>
      </c>
      <c r="N35" s="577">
        <v>37.212000000000003</v>
      </c>
      <c r="O35" s="577">
        <v>128.31</v>
      </c>
      <c r="P35" s="577">
        <f t="shared" si="5"/>
        <v>165.52199999999999</v>
      </c>
      <c r="Q35" s="577">
        <f t="shared" si="6"/>
        <v>15.867999999999995</v>
      </c>
      <c r="R35" s="577">
        <f t="shared" si="7"/>
        <v>76.602591073185295</v>
      </c>
      <c r="S35" s="577">
        <f t="shared" si="8"/>
        <v>92.47059107318529</v>
      </c>
      <c r="T35" s="573" t="s">
        <v>951</v>
      </c>
      <c r="U35" s="573">
        <f t="shared" si="9"/>
        <v>886</v>
      </c>
      <c r="V35" s="573">
        <f t="shared" si="10"/>
        <v>886</v>
      </c>
    </row>
    <row r="36" spans="1:22" ht="14.25">
      <c r="A36" s="575">
        <v>23</v>
      </c>
      <c r="B36" s="576" t="s">
        <v>934</v>
      </c>
      <c r="C36" s="573">
        <v>1986</v>
      </c>
      <c r="D36" s="573">
        <v>1986</v>
      </c>
      <c r="E36" s="577">
        <f t="shared" si="0"/>
        <v>118.98</v>
      </c>
      <c r="F36" s="577">
        <f t="shared" si="1"/>
        <v>443.36322714823518</v>
      </c>
      <c r="G36" s="577">
        <f t="shared" si="2"/>
        <v>562.3432271482352</v>
      </c>
      <c r="H36" s="577">
        <v>0</v>
      </c>
      <c r="I36" s="577">
        <v>43.573227148235219</v>
      </c>
      <c r="J36" s="577">
        <f t="shared" si="3"/>
        <v>43.573227148235219</v>
      </c>
      <c r="K36" s="577">
        <v>118.98</v>
      </c>
      <c r="L36" s="577">
        <v>399.78999999999996</v>
      </c>
      <c r="M36" s="577">
        <f t="shared" si="4"/>
        <v>518.77</v>
      </c>
      <c r="N36" s="577">
        <v>83.412000000000006</v>
      </c>
      <c r="O36" s="577">
        <v>280.952</v>
      </c>
      <c r="P36" s="577">
        <f t="shared" si="5"/>
        <v>364.36400000000003</v>
      </c>
      <c r="Q36" s="577">
        <f t="shared" si="6"/>
        <v>35.567999999999998</v>
      </c>
      <c r="R36" s="577">
        <f t="shared" si="7"/>
        <v>162.41122714823518</v>
      </c>
      <c r="S36" s="577">
        <f t="shared" si="8"/>
        <v>197.97922714823517</v>
      </c>
      <c r="T36" s="573" t="s">
        <v>951</v>
      </c>
      <c r="U36" s="573">
        <f t="shared" si="9"/>
        <v>1986</v>
      </c>
      <c r="V36" s="573">
        <f t="shared" si="10"/>
        <v>1986</v>
      </c>
    </row>
    <row r="37" spans="1:22" ht="14.25">
      <c r="A37" s="575">
        <v>24</v>
      </c>
      <c r="B37" s="576" t="s">
        <v>935</v>
      </c>
      <c r="C37" s="573">
        <v>990</v>
      </c>
      <c r="D37" s="573">
        <v>387</v>
      </c>
      <c r="E37" s="577">
        <f t="shared" si="0"/>
        <v>59.230000000000004</v>
      </c>
      <c r="F37" s="577">
        <f t="shared" si="1"/>
        <v>227.65400082023527</v>
      </c>
      <c r="G37" s="577">
        <f t="shared" si="2"/>
        <v>286.88400082023526</v>
      </c>
      <c r="H37" s="577">
        <v>0</v>
      </c>
      <c r="I37" s="577">
        <v>27.974000820235261</v>
      </c>
      <c r="J37" s="577">
        <f t="shared" si="3"/>
        <v>27.974000820235261</v>
      </c>
      <c r="K37" s="577">
        <v>59.230000000000004</v>
      </c>
      <c r="L37" s="577">
        <v>199.68</v>
      </c>
      <c r="M37" s="577">
        <f t="shared" si="4"/>
        <v>258.91000000000003</v>
      </c>
      <c r="N37" s="577">
        <v>41.58</v>
      </c>
      <c r="O37" s="577">
        <v>139.90199999999999</v>
      </c>
      <c r="P37" s="577">
        <f t="shared" si="5"/>
        <v>181.48199999999997</v>
      </c>
      <c r="Q37" s="577">
        <f t="shared" si="6"/>
        <v>17.650000000000006</v>
      </c>
      <c r="R37" s="577">
        <f t="shared" si="7"/>
        <v>87.752000820235281</v>
      </c>
      <c r="S37" s="577">
        <f t="shared" si="8"/>
        <v>105.40200082023529</v>
      </c>
      <c r="T37" s="573" t="s">
        <v>951</v>
      </c>
      <c r="U37" s="573">
        <f t="shared" si="9"/>
        <v>387</v>
      </c>
      <c r="V37" s="573">
        <f t="shared" si="10"/>
        <v>387</v>
      </c>
    </row>
    <row r="38" spans="1:22" ht="14.25">
      <c r="A38" s="575">
        <v>25</v>
      </c>
      <c r="B38" s="576" t="s">
        <v>936</v>
      </c>
      <c r="C38" s="573">
        <v>742</v>
      </c>
      <c r="D38" s="573">
        <v>782</v>
      </c>
      <c r="E38" s="577">
        <f t="shared" si="0"/>
        <v>44.65</v>
      </c>
      <c r="F38" s="577">
        <f t="shared" si="1"/>
        <v>185.38025076438532</v>
      </c>
      <c r="G38" s="577">
        <f t="shared" si="2"/>
        <v>230.03025076438533</v>
      </c>
      <c r="H38" s="577">
        <v>0</v>
      </c>
      <c r="I38" s="577">
        <v>32.890250764385314</v>
      </c>
      <c r="J38" s="577">
        <f t="shared" si="3"/>
        <v>32.890250764385314</v>
      </c>
      <c r="K38" s="577">
        <v>44.65</v>
      </c>
      <c r="L38" s="577">
        <v>152.49</v>
      </c>
      <c r="M38" s="577">
        <f t="shared" si="4"/>
        <v>197.14000000000001</v>
      </c>
      <c r="N38" s="577">
        <v>31.164000000000001</v>
      </c>
      <c r="O38" s="577">
        <v>106.883</v>
      </c>
      <c r="P38" s="577">
        <f t="shared" si="5"/>
        <v>138.047</v>
      </c>
      <c r="Q38" s="577">
        <f t="shared" si="6"/>
        <v>13.485999999999997</v>
      </c>
      <c r="R38" s="577">
        <f t="shared" si="7"/>
        <v>78.497250764385328</v>
      </c>
      <c r="S38" s="577">
        <f t="shared" si="8"/>
        <v>91.983250764385332</v>
      </c>
      <c r="T38" s="573" t="s">
        <v>951</v>
      </c>
      <c r="U38" s="573">
        <f t="shared" si="9"/>
        <v>782</v>
      </c>
      <c r="V38" s="573">
        <f t="shared" si="10"/>
        <v>782</v>
      </c>
    </row>
    <row r="39" spans="1:22" ht="14.25">
      <c r="A39" s="575">
        <v>26</v>
      </c>
      <c r="B39" s="576" t="s">
        <v>937</v>
      </c>
      <c r="C39" s="573">
        <v>1296</v>
      </c>
      <c r="D39" s="573">
        <v>1119</v>
      </c>
      <c r="E39" s="577">
        <f t="shared" si="0"/>
        <v>77.739999999999995</v>
      </c>
      <c r="F39" s="577">
        <f t="shared" si="1"/>
        <v>290.34455529903539</v>
      </c>
      <c r="G39" s="577">
        <f t="shared" si="2"/>
        <v>368.0845552990354</v>
      </c>
      <c r="H39" s="577">
        <v>0</v>
      </c>
      <c r="I39" s="577">
        <v>26.354555299035383</v>
      </c>
      <c r="J39" s="577">
        <f t="shared" si="3"/>
        <v>26.354555299035383</v>
      </c>
      <c r="K39" s="577">
        <v>77.739999999999995</v>
      </c>
      <c r="L39" s="577">
        <v>263.99</v>
      </c>
      <c r="M39" s="577">
        <f t="shared" si="4"/>
        <v>341.73</v>
      </c>
      <c r="N39" s="577">
        <v>54.432000000000002</v>
      </c>
      <c r="O39" s="577">
        <v>185.136</v>
      </c>
      <c r="P39" s="577">
        <f t="shared" si="5"/>
        <v>239.56799999999998</v>
      </c>
      <c r="Q39" s="577">
        <f t="shared" si="6"/>
        <v>23.307999999999993</v>
      </c>
      <c r="R39" s="577">
        <f t="shared" si="7"/>
        <v>105.2085552990354</v>
      </c>
      <c r="S39" s="577">
        <f t="shared" si="8"/>
        <v>128.51655529903539</v>
      </c>
      <c r="T39" s="573" t="s">
        <v>951</v>
      </c>
      <c r="U39" s="573">
        <f t="shared" si="9"/>
        <v>1119</v>
      </c>
      <c r="V39" s="573">
        <f t="shared" si="10"/>
        <v>1119</v>
      </c>
    </row>
    <row r="40" spans="1:22" ht="14.25">
      <c r="A40" s="575">
        <v>27</v>
      </c>
      <c r="B40" s="576" t="s">
        <v>938</v>
      </c>
      <c r="C40" s="573">
        <v>1470</v>
      </c>
      <c r="D40" s="573">
        <v>1407</v>
      </c>
      <c r="E40" s="577">
        <f t="shared" si="0"/>
        <v>88.12</v>
      </c>
      <c r="F40" s="577">
        <f t="shared" si="1"/>
        <v>326.46900736823534</v>
      </c>
      <c r="G40" s="577">
        <f t="shared" si="2"/>
        <v>414.58900736823534</v>
      </c>
      <c r="H40" s="577">
        <v>0</v>
      </c>
      <c r="I40" s="577">
        <v>25.879007368235307</v>
      </c>
      <c r="J40" s="577">
        <f t="shared" si="3"/>
        <v>25.879007368235307</v>
      </c>
      <c r="K40" s="577">
        <v>88.12</v>
      </c>
      <c r="L40" s="577">
        <v>300.59000000000003</v>
      </c>
      <c r="M40" s="577">
        <f t="shared" si="4"/>
        <v>388.71000000000004</v>
      </c>
      <c r="N40" s="577">
        <v>61.74</v>
      </c>
      <c r="O40" s="577">
        <v>209.49600000000001</v>
      </c>
      <c r="P40" s="577">
        <f t="shared" si="5"/>
        <v>271.23599999999999</v>
      </c>
      <c r="Q40" s="577">
        <f t="shared" si="6"/>
        <v>26.380000000000003</v>
      </c>
      <c r="R40" s="577">
        <f t="shared" si="7"/>
        <v>116.97300736823533</v>
      </c>
      <c r="S40" s="577">
        <f t="shared" si="8"/>
        <v>143.35300736823532</v>
      </c>
      <c r="T40" s="573" t="s">
        <v>951</v>
      </c>
      <c r="U40" s="573">
        <f t="shared" si="9"/>
        <v>1407</v>
      </c>
      <c r="V40" s="573">
        <f t="shared" si="10"/>
        <v>1407</v>
      </c>
    </row>
    <row r="41" spans="1:22" ht="14.25">
      <c r="A41" s="575">
        <v>28</v>
      </c>
      <c r="B41" s="576" t="s">
        <v>939</v>
      </c>
      <c r="C41" s="573">
        <v>3504</v>
      </c>
      <c r="D41" s="573">
        <v>1747</v>
      </c>
      <c r="E41" s="577">
        <f t="shared" si="0"/>
        <v>210.27</v>
      </c>
      <c r="F41" s="577">
        <f t="shared" si="1"/>
        <v>802.58044292423494</v>
      </c>
      <c r="G41" s="577">
        <f t="shared" si="2"/>
        <v>1012.8504429242349</v>
      </c>
      <c r="H41" s="577">
        <v>0</v>
      </c>
      <c r="I41" s="577">
        <v>91.200442924234949</v>
      </c>
      <c r="J41" s="577">
        <f t="shared" si="3"/>
        <v>91.200442924234949</v>
      </c>
      <c r="K41" s="577">
        <v>210.27</v>
      </c>
      <c r="L41" s="577">
        <v>711.38</v>
      </c>
      <c r="M41" s="577">
        <f t="shared" si="4"/>
        <v>921.65</v>
      </c>
      <c r="N41" s="577">
        <v>147.16800000000001</v>
      </c>
      <c r="O41" s="577">
        <v>497.05599999999998</v>
      </c>
      <c r="P41" s="577">
        <f t="shared" si="5"/>
        <v>644.22399999999993</v>
      </c>
      <c r="Q41" s="577">
        <f t="shared" si="6"/>
        <v>63.102000000000004</v>
      </c>
      <c r="R41" s="577">
        <f t="shared" si="7"/>
        <v>305.52444292423496</v>
      </c>
      <c r="S41" s="577">
        <f t="shared" si="8"/>
        <v>368.62644292423499</v>
      </c>
      <c r="T41" s="573" t="s">
        <v>951</v>
      </c>
      <c r="U41" s="573">
        <f t="shared" si="9"/>
        <v>1747</v>
      </c>
      <c r="V41" s="573">
        <f t="shared" si="10"/>
        <v>1747</v>
      </c>
    </row>
    <row r="42" spans="1:22" ht="14.25">
      <c r="A42" s="575">
        <v>29</v>
      </c>
      <c r="B42" s="576" t="s">
        <v>940</v>
      </c>
      <c r="C42" s="573">
        <v>1796</v>
      </c>
      <c r="D42" s="573">
        <v>937</v>
      </c>
      <c r="E42" s="577">
        <f t="shared" si="0"/>
        <v>107.68</v>
      </c>
      <c r="F42" s="577">
        <f t="shared" si="1"/>
        <v>375.65923895600014</v>
      </c>
      <c r="G42" s="577">
        <f t="shared" si="2"/>
        <v>483.33923895600014</v>
      </c>
      <c r="H42" s="577">
        <v>0</v>
      </c>
      <c r="I42" s="577">
        <v>11.249238956000113</v>
      </c>
      <c r="J42" s="577">
        <f t="shared" si="3"/>
        <v>11.249238956000113</v>
      </c>
      <c r="K42" s="577">
        <v>107.68</v>
      </c>
      <c r="L42" s="577">
        <v>364.41</v>
      </c>
      <c r="M42" s="577">
        <f t="shared" si="4"/>
        <v>472.09000000000003</v>
      </c>
      <c r="N42" s="577">
        <v>75.432000000000002</v>
      </c>
      <c r="O42" s="577">
        <v>254.92599999999999</v>
      </c>
      <c r="P42" s="577">
        <f t="shared" si="5"/>
        <v>330.358</v>
      </c>
      <c r="Q42" s="577">
        <f t="shared" si="6"/>
        <v>32.248000000000005</v>
      </c>
      <c r="R42" s="577">
        <f t="shared" si="7"/>
        <v>120.73323895600015</v>
      </c>
      <c r="S42" s="577">
        <f t="shared" si="8"/>
        <v>152.98123895600014</v>
      </c>
      <c r="T42" s="573" t="s">
        <v>951</v>
      </c>
      <c r="U42" s="573">
        <f t="shared" si="9"/>
        <v>937</v>
      </c>
      <c r="V42" s="573">
        <f t="shared" si="10"/>
        <v>937</v>
      </c>
    </row>
    <row r="43" spans="1:22" ht="14.25">
      <c r="A43" s="575">
        <v>30</v>
      </c>
      <c r="B43" s="576" t="s">
        <v>941</v>
      </c>
      <c r="C43" s="573">
        <v>2082</v>
      </c>
      <c r="D43" s="573">
        <v>1882</v>
      </c>
      <c r="E43" s="577">
        <f t="shared" si="0"/>
        <v>125.38</v>
      </c>
      <c r="F43" s="577">
        <f t="shared" si="1"/>
        <v>432.62</v>
      </c>
      <c r="G43" s="577">
        <f t="shared" si="2"/>
        <v>558</v>
      </c>
      <c r="H43" s="577">
        <v>0</v>
      </c>
      <c r="I43" s="577">
        <v>8.8000000000000007</v>
      </c>
      <c r="J43" s="577">
        <f t="shared" si="3"/>
        <v>8.8000000000000007</v>
      </c>
      <c r="K43" s="577">
        <v>125.38</v>
      </c>
      <c r="L43" s="577">
        <v>423.82</v>
      </c>
      <c r="M43" s="577">
        <f t="shared" si="4"/>
        <v>549.20000000000005</v>
      </c>
      <c r="N43" s="577">
        <v>87.444000000000003</v>
      </c>
      <c r="O43" s="577">
        <v>295.82</v>
      </c>
      <c r="P43" s="577">
        <f t="shared" si="5"/>
        <v>383.26400000000001</v>
      </c>
      <c r="Q43" s="577">
        <f t="shared" si="6"/>
        <v>37.935999999999993</v>
      </c>
      <c r="R43" s="577">
        <f t="shared" si="7"/>
        <v>136.80000000000001</v>
      </c>
      <c r="S43" s="577">
        <f t="shared" si="8"/>
        <v>174.73599999999999</v>
      </c>
      <c r="T43" s="573" t="s">
        <v>951</v>
      </c>
      <c r="U43" s="573">
        <f t="shared" si="9"/>
        <v>1882</v>
      </c>
      <c r="V43" s="573">
        <f t="shared" si="10"/>
        <v>1882</v>
      </c>
    </row>
    <row r="44" spans="1:22" ht="14.25">
      <c r="A44" s="575">
        <v>31</v>
      </c>
      <c r="B44" s="576" t="s">
        <v>942</v>
      </c>
      <c r="C44" s="573">
        <v>1766</v>
      </c>
      <c r="D44" s="573">
        <v>1340</v>
      </c>
      <c r="E44" s="577">
        <f t="shared" si="0"/>
        <v>105.93</v>
      </c>
      <c r="F44" s="577">
        <f t="shared" si="1"/>
        <v>413.77134795223498</v>
      </c>
      <c r="G44" s="577">
        <f t="shared" si="2"/>
        <v>519.70134795223498</v>
      </c>
      <c r="H44" s="577">
        <v>0</v>
      </c>
      <c r="I44" s="577">
        <v>53.761347952234985</v>
      </c>
      <c r="J44" s="577">
        <f t="shared" si="3"/>
        <v>53.761347952234985</v>
      </c>
      <c r="K44" s="577">
        <v>105.93</v>
      </c>
      <c r="L44" s="577">
        <v>360.01</v>
      </c>
      <c r="M44" s="577">
        <f t="shared" si="4"/>
        <v>465.94</v>
      </c>
      <c r="N44" s="577">
        <v>74.171999999999997</v>
      </c>
      <c r="O44" s="577">
        <v>252.04900000000001</v>
      </c>
      <c r="P44" s="577">
        <f t="shared" si="5"/>
        <v>326.221</v>
      </c>
      <c r="Q44" s="577">
        <f t="shared" si="6"/>
        <v>31.75800000000001</v>
      </c>
      <c r="R44" s="577">
        <f t="shared" si="7"/>
        <v>161.72234795223497</v>
      </c>
      <c r="S44" s="577">
        <f t="shared" si="8"/>
        <v>193.48034795223498</v>
      </c>
      <c r="T44" s="573" t="s">
        <v>951</v>
      </c>
      <c r="U44" s="573">
        <f t="shared" si="9"/>
        <v>1340</v>
      </c>
      <c r="V44" s="573">
        <f t="shared" si="10"/>
        <v>1340</v>
      </c>
    </row>
    <row r="45" spans="1:22" ht="14.25">
      <c r="A45" s="575">
        <v>32</v>
      </c>
      <c r="B45" s="576" t="s">
        <v>943</v>
      </c>
      <c r="C45" s="573">
        <v>1139</v>
      </c>
      <c r="D45" s="573">
        <v>1139</v>
      </c>
      <c r="E45" s="577">
        <f t="shared" si="0"/>
        <v>68.38</v>
      </c>
      <c r="F45" s="577">
        <f t="shared" si="1"/>
        <v>245.55637288423529</v>
      </c>
      <c r="G45" s="577">
        <f t="shared" si="2"/>
        <v>313.93637288423531</v>
      </c>
      <c r="H45" s="577">
        <v>0</v>
      </c>
      <c r="I45" s="577">
        <v>13.926372884235292</v>
      </c>
      <c r="J45" s="577">
        <f t="shared" si="3"/>
        <v>13.926372884235292</v>
      </c>
      <c r="K45" s="577">
        <v>68.38</v>
      </c>
      <c r="L45" s="577">
        <v>231.63</v>
      </c>
      <c r="M45" s="577">
        <f t="shared" si="4"/>
        <v>300.01</v>
      </c>
      <c r="N45" s="577">
        <v>47.838000000000001</v>
      </c>
      <c r="O45" s="577">
        <v>162.05000000000001</v>
      </c>
      <c r="P45" s="577">
        <f t="shared" si="5"/>
        <v>209.88800000000001</v>
      </c>
      <c r="Q45" s="577">
        <f t="shared" si="6"/>
        <v>20.541999999999994</v>
      </c>
      <c r="R45" s="577">
        <f t="shared" si="7"/>
        <v>83.506372884235276</v>
      </c>
      <c r="S45" s="577">
        <f t="shared" si="8"/>
        <v>104.04837288423528</v>
      </c>
      <c r="T45" s="573" t="s">
        <v>951</v>
      </c>
      <c r="U45" s="573">
        <f t="shared" si="9"/>
        <v>1139</v>
      </c>
      <c r="V45" s="573">
        <f t="shared" si="10"/>
        <v>1139</v>
      </c>
    </row>
    <row r="46" spans="1:22" ht="14.25">
      <c r="A46" s="575">
        <v>33</v>
      </c>
      <c r="B46" s="576" t="s">
        <v>944</v>
      </c>
      <c r="C46" s="573">
        <v>2050</v>
      </c>
      <c r="D46" s="573">
        <v>2050</v>
      </c>
      <c r="E46" s="577">
        <f t="shared" si="0"/>
        <v>122.74</v>
      </c>
      <c r="F46" s="577">
        <f t="shared" si="1"/>
        <v>435.4927037402353</v>
      </c>
      <c r="G46" s="577">
        <f t="shared" si="2"/>
        <v>558.23270374023525</v>
      </c>
      <c r="H46" s="577">
        <v>0</v>
      </c>
      <c r="I46" s="577">
        <v>19.672703740235306</v>
      </c>
      <c r="J46" s="577">
        <f t="shared" si="3"/>
        <v>19.672703740235306</v>
      </c>
      <c r="K46" s="577">
        <v>122.74</v>
      </c>
      <c r="L46" s="577">
        <v>415.82</v>
      </c>
      <c r="M46" s="577">
        <f t="shared" si="4"/>
        <v>538.55999999999995</v>
      </c>
      <c r="N46" s="577">
        <v>86.1</v>
      </c>
      <c r="O46" s="577">
        <v>291.56400000000002</v>
      </c>
      <c r="P46" s="577">
        <f t="shared" si="5"/>
        <v>377.66399999999999</v>
      </c>
      <c r="Q46" s="577">
        <f t="shared" si="6"/>
        <v>36.64</v>
      </c>
      <c r="R46" s="577">
        <f t="shared" si="7"/>
        <v>143.92870374023528</v>
      </c>
      <c r="S46" s="577">
        <f t="shared" si="8"/>
        <v>180.56870374023526</v>
      </c>
      <c r="T46" s="573" t="s">
        <v>951</v>
      </c>
      <c r="U46" s="573">
        <f t="shared" si="9"/>
        <v>2050</v>
      </c>
      <c r="V46" s="573">
        <f t="shared" si="10"/>
        <v>2050</v>
      </c>
    </row>
    <row r="47" spans="1:22" ht="14.25">
      <c r="A47" s="575">
        <v>34</v>
      </c>
      <c r="B47" s="576" t="s">
        <v>945</v>
      </c>
      <c r="C47" s="573">
        <v>834</v>
      </c>
      <c r="D47" s="573">
        <v>865</v>
      </c>
      <c r="E47" s="577">
        <f t="shared" si="0"/>
        <v>50.370000000000005</v>
      </c>
      <c r="F47" s="577">
        <f t="shared" si="1"/>
        <v>351.26</v>
      </c>
      <c r="G47" s="577">
        <f t="shared" si="2"/>
        <v>401.63</v>
      </c>
      <c r="H47" s="577">
        <v>0</v>
      </c>
      <c r="I47" s="577">
        <v>179.62</v>
      </c>
      <c r="J47" s="577">
        <f t="shared" si="3"/>
        <v>179.62</v>
      </c>
      <c r="K47" s="577">
        <v>50.370000000000005</v>
      </c>
      <c r="L47" s="577">
        <v>171.64000000000001</v>
      </c>
      <c r="M47" s="577">
        <f t="shared" si="4"/>
        <v>222.01000000000002</v>
      </c>
      <c r="N47" s="577">
        <v>35.027999999999999</v>
      </c>
      <c r="O47" s="577">
        <v>119.476</v>
      </c>
      <c r="P47" s="577">
        <f t="shared" si="5"/>
        <v>154.50399999999999</v>
      </c>
      <c r="Q47" s="577">
        <f t="shared" si="6"/>
        <v>15.342000000000006</v>
      </c>
      <c r="R47" s="577">
        <f t="shared" si="7"/>
        <v>231.78399999999999</v>
      </c>
      <c r="S47" s="577">
        <f t="shared" si="8"/>
        <v>247.126</v>
      </c>
      <c r="T47" s="573" t="s">
        <v>951</v>
      </c>
      <c r="U47" s="573">
        <f t="shared" si="9"/>
        <v>865</v>
      </c>
      <c r="V47" s="573">
        <f t="shared" si="10"/>
        <v>865</v>
      </c>
    </row>
    <row r="48" spans="1:22" ht="14.25">
      <c r="A48" s="578" t="s">
        <v>17</v>
      </c>
      <c r="B48" s="578"/>
      <c r="C48" s="578">
        <f>SUM(C14:C47)</f>
        <v>44114</v>
      </c>
      <c r="D48" s="578">
        <f>SUM(D14:D47)</f>
        <v>37802</v>
      </c>
      <c r="E48" s="579">
        <f>SUM(E14:E47)</f>
        <v>2646.1499999999996</v>
      </c>
      <c r="F48" s="579">
        <f>SUM(F14:F47)</f>
        <v>10343.685877442531</v>
      </c>
      <c r="G48" s="579">
        <f>SUM(G14:G47)</f>
        <v>12989.835877442527</v>
      </c>
      <c r="H48" s="579">
        <f t="shared" ref="H48" si="11">SUM(H14:H47)</f>
        <v>0</v>
      </c>
      <c r="I48" s="579">
        <f t="shared" ref="I48" si="12">SUM(I14:I47)</f>
        <v>1322.4258774425289</v>
      </c>
      <c r="J48" s="579">
        <f t="shared" ref="J48" si="13">SUM(J14:J47)</f>
        <v>1322.4258774425289</v>
      </c>
      <c r="K48" s="579">
        <f t="shared" ref="K48" si="14">SUM(K14:K47)</f>
        <v>2646.1499999999996</v>
      </c>
      <c r="L48" s="579">
        <f t="shared" ref="L48" si="15">SUM(L14:L47)</f>
        <v>9021.2599999999984</v>
      </c>
      <c r="M48" s="579">
        <f t="shared" ref="M48" si="16">SUM(M14:M47)</f>
        <v>11667.410000000002</v>
      </c>
      <c r="N48" s="579">
        <f t="shared" ref="N48" si="17">SUM(N14:N47)</f>
        <v>1852.7880000000002</v>
      </c>
      <c r="O48" s="579">
        <f t="shared" ref="O48" si="18">SUM(O14:O47)</f>
        <v>6316.4780000000001</v>
      </c>
      <c r="P48" s="579">
        <f t="shared" ref="P48:S48" si="19">SUM(P14:P47)</f>
        <v>8169.2659999999987</v>
      </c>
      <c r="Q48" s="579">
        <f t="shared" si="19"/>
        <v>793.36199999999997</v>
      </c>
      <c r="R48" s="579">
        <f t="shared" si="19"/>
        <v>4027.2078774425295</v>
      </c>
      <c r="S48" s="579">
        <f t="shared" si="19"/>
        <v>4820.56987744253</v>
      </c>
      <c r="T48" s="578" t="s">
        <v>10</v>
      </c>
      <c r="U48" s="578">
        <f>SUM(U14:U47)</f>
        <v>37802</v>
      </c>
      <c r="V48" s="578">
        <f>SUM(V14:V47)</f>
        <v>37802</v>
      </c>
    </row>
    <row r="50" spans="2:21" ht="21.75" customHeight="1">
      <c r="M50" s="424"/>
      <c r="N50" s="424"/>
      <c r="O50" s="424"/>
      <c r="P50" s="424"/>
      <c r="Q50" s="424"/>
      <c r="R50" s="424"/>
      <c r="S50" s="424"/>
    </row>
    <row r="51" spans="2:21" ht="15.75">
      <c r="B51" s="417"/>
      <c r="C51" s="13"/>
      <c r="D51" s="13"/>
      <c r="E51" s="13"/>
      <c r="F51" s="13"/>
      <c r="G51" s="13"/>
      <c r="H51" s="417"/>
      <c r="I51" s="417"/>
      <c r="J51" s="417"/>
      <c r="K51" s="417"/>
      <c r="L51" s="417"/>
      <c r="M51" s="417"/>
      <c r="R51" s="804" t="s">
        <v>12</v>
      </c>
      <c r="S51" s="804"/>
      <c r="T51" s="804"/>
      <c r="U51" s="804"/>
    </row>
    <row r="52" spans="2:21" ht="15.75">
      <c r="B52" s="803" t="s">
        <v>906</v>
      </c>
      <c r="C52" s="803"/>
      <c r="D52" s="803"/>
      <c r="E52" s="803"/>
      <c r="F52" s="375"/>
      <c r="G52" s="375"/>
      <c r="H52" s="417"/>
      <c r="I52" s="417"/>
      <c r="J52" s="423"/>
      <c r="K52" s="423"/>
      <c r="L52" s="417"/>
      <c r="M52" s="417"/>
      <c r="P52" s="424"/>
      <c r="R52" s="804" t="s">
        <v>13</v>
      </c>
      <c r="S52" s="804"/>
      <c r="T52" s="804"/>
      <c r="U52" s="804"/>
    </row>
    <row r="53" spans="2:21" ht="12.75" customHeight="1">
      <c r="B53" s="804" t="s">
        <v>907</v>
      </c>
      <c r="C53" s="804"/>
      <c r="D53" s="804"/>
      <c r="E53" s="804"/>
      <c r="F53" s="375"/>
      <c r="G53" s="375"/>
      <c r="H53" s="417"/>
      <c r="I53" s="417"/>
      <c r="J53" s="423"/>
      <c r="K53" s="417"/>
      <c r="L53" s="417"/>
      <c r="M53" s="417"/>
      <c r="P53" s="424"/>
      <c r="R53" s="804" t="s">
        <v>18</v>
      </c>
      <c r="S53" s="804"/>
      <c r="T53" s="804"/>
      <c r="U53" s="804"/>
    </row>
    <row r="54" spans="2:21" ht="12.75" customHeight="1">
      <c r="B54" s="804" t="s">
        <v>908</v>
      </c>
      <c r="C54" s="804"/>
      <c r="D54" s="804"/>
      <c r="E54" s="804"/>
      <c r="H54" s="417"/>
      <c r="I54" s="417"/>
      <c r="J54" s="417"/>
      <c r="K54" s="417"/>
      <c r="L54" s="417"/>
      <c r="M54" s="417"/>
      <c r="R54" s="417"/>
      <c r="S54" s="14"/>
      <c r="T54" s="33" t="s">
        <v>84</v>
      </c>
      <c r="U54" s="33"/>
    </row>
    <row r="55" spans="2:21" ht="12.75" customHeight="1">
      <c r="B55" s="416"/>
      <c r="C55" s="416"/>
      <c r="D55" s="416"/>
      <c r="E55" s="416"/>
      <c r="F55" s="416"/>
      <c r="G55" s="416"/>
      <c r="H55" s="417"/>
      <c r="I55" s="417"/>
      <c r="J55" s="417"/>
      <c r="K55" s="417"/>
      <c r="L55" s="417"/>
      <c r="M55" s="417"/>
      <c r="N55" s="417"/>
      <c r="O55" s="417"/>
      <c r="P55" s="417"/>
      <c r="Q55" s="417"/>
    </row>
    <row r="56" spans="2:21" ht="15.75">
      <c r="B56" s="13" t="s">
        <v>11</v>
      </c>
      <c r="C56" s="417"/>
      <c r="D56" s="417"/>
      <c r="E56" s="417"/>
      <c r="F56" s="417"/>
      <c r="G56" s="417"/>
      <c r="H56" s="417"/>
      <c r="I56" s="417"/>
      <c r="J56" s="417"/>
      <c r="K56" s="417"/>
      <c r="L56" s="417"/>
      <c r="M56" s="417"/>
      <c r="N56" s="417"/>
      <c r="O56" s="417"/>
      <c r="P56" s="417"/>
      <c r="Q56" s="417"/>
    </row>
  </sheetData>
  <mergeCells count="25">
    <mergeCell ref="A3:V3"/>
    <mergeCell ref="A4:V4"/>
    <mergeCell ref="A8:V8"/>
    <mergeCell ref="Q1:V1"/>
    <mergeCell ref="H11:J11"/>
    <mergeCell ref="Q11:S11"/>
    <mergeCell ref="T11:T12"/>
    <mergeCell ref="K11:M11"/>
    <mergeCell ref="D11:D12"/>
    <mergeCell ref="P10:V10"/>
    <mergeCell ref="C11:C12"/>
    <mergeCell ref="B11:B12"/>
    <mergeCell ref="N11:P11"/>
    <mergeCell ref="U9:V9"/>
    <mergeCell ref="A5:Q5"/>
    <mergeCell ref="V11:V12"/>
    <mergeCell ref="U11:U12"/>
    <mergeCell ref="E11:G11"/>
    <mergeCell ref="A11:A12"/>
    <mergeCell ref="B54:E54"/>
    <mergeCell ref="R51:U51"/>
    <mergeCell ref="B52:E52"/>
    <mergeCell ref="R52:U52"/>
    <mergeCell ref="B53:E53"/>
    <mergeCell ref="R53:U53"/>
  </mergeCells>
  <printOptions horizontalCentered="1"/>
  <pageMargins left="0.70866141732283472" right="0.70866141732283472" top="0.23622047244094491" bottom="0" header="0.31496062992125984" footer="0.31496062992125984"/>
  <pageSetup paperSize="9" scale="52" orientation="landscape" r:id="rId1"/>
</worksheet>
</file>

<file path=xl/worksheets/sheet27.xml><?xml version="1.0" encoding="utf-8"?>
<worksheet xmlns="http://schemas.openxmlformats.org/spreadsheetml/2006/main" xmlns:r="http://schemas.openxmlformats.org/officeDocument/2006/relationships">
  <sheetPr codeName="Sheet27">
    <tabColor rgb="FF92D050"/>
    <pageSetUpPr fitToPage="1"/>
  </sheetPr>
  <dimension ref="A1:V57"/>
  <sheetViews>
    <sheetView view="pageBreakPreview" topLeftCell="A10" zoomScale="85" zoomScaleSheetLayoutView="85" workbookViewId="0">
      <pane xSplit="2" ySplit="3" topLeftCell="C31" activePane="bottomRight" state="frozen"/>
      <selection activeCell="A10" sqref="A10"/>
      <selection pane="topRight" activeCell="C10" sqref="C10"/>
      <selection pane="bottomLeft" activeCell="A13" sqref="A13"/>
      <selection pane="bottomRight" activeCell="C34" sqref="C34:V34"/>
    </sheetView>
  </sheetViews>
  <sheetFormatPr defaultRowHeight="12.75"/>
  <cols>
    <col min="2" max="2" width="19.7109375" customWidth="1"/>
    <col min="3" max="3" width="10.85546875" customWidth="1"/>
    <col min="4" max="4" width="11.140625" customWidth="1"/>
    <col min="5" max="5" width="9.28515625" customWidth="1"/>
    <col min="6" max="6" width="9.42578125" customWidth="1"/>
    <col min="7" max="7" width="9.140625" customWidth="1"/>
    <col min="20" max="20" width="10.42578125" customWidth="1"/>
    <col min="21" max="21" width="11.140625" customWidth="1"/>
    <col min="22" max="22" width="11.85546875" customWidth="1"/>
  </cols>
  <sheetData>
    <row r="1" spans="1:22" ht="15">
      <c r="Q1" s="962" t="s">
        <v>203</v>
      </c>
      <c r="R1" s="962"/>
      <c r="S1" s="962"/>
      <c r="T1" s="962"/>
      <c r="U1" s="962"/>
      <c r="V1" s="962"/>
    </row>
    <row r="3" spans="1:22" ht="15">
      <c r="A3" s="920" t="s">
        <v>0</v>
      </c>
      <c r="B3" s="920"/>
      <c r="C3" s="920"/>
      <c r="D3" s="920"/>
      <c r="E3" s="920"/>
      <c r="F3" s="920"/>
      <c r="G3" s="920"/>
      <c r="H3" s="920"/>
      <c r="I3" s="920"/>
      <c r="J3" s="920"/>
      <c r="K3" s="920"/>
      <c r="L3" s="920"/>
      <c r="M3" s="920"/>
      <c r="N3" s="920"/>
      <c r="O3" s="920"/>
      <c r="P3" s="920"/>
      <c r="Q3" s="920"/>
    </row>
    <row r="4" spans="1:22" ht="20.25">
      <c r="A4" s="881" t="s">
        <v>745</v>
      </c>
      <c r="B4" s="881"/>
      <c r="C4" s="881"/>
      <c r="D4" s="881"/>
      <c r="E4" s="881"/>
      <c r="F4" s="881"/>
      <c r="G4" s="881"/>
      <c r="H4" s="881"/>
      <c r="I4" s="881"/>
      <c r="J4" s="881"/>
      <c r="K4" s="881"/>
      <c r="L4" s="881"/>
      <c r="M4" s="881"/>
      <c r="N4" s="881"/>
      <c r="O4" s="881"/>
      <c r="P4" s="881"/>
      <c r="Q4" s="41"/>
    </row>
    <row r="5" spans="1:22" ht="15.75">
      <c r="A5" s="967" t="s">
        <v>952</v>
      </c>
      <c r="B5" s="967"/>
      <c r="C5" s="967"/>
      <c r="D5" s="967"/>
      <c r="E5" s="967"/>
      <c r="F5" s="967"/>
      <c r="G5" s="967"/>
      <c r="H5" s="967"/>
      <c r="I5" s="967"/>
      <c r="J5" s="967"/>
      <c r="K5" s="967"/>
      <c r="L5" s="967"/>
      <c r="M5" s="967"/>
      <c r="N5" s="967"/>
      <c r="O5" s="967"/>
      <c r="P5" s="967"/>
      <c r="Q5" s="967"/>
    </row>
    <row r="6" spans="1:22">
      <c r="A6" s="33"/>
      <c r="B6" s="33"/>
      <c r="C6" s="157"/>
      <c r="D6" s="33"/>
      <c r="E6" s="33"/>
      <c r="F6" s="33"/>
      <c r="G6" s="33"/>
      <c r="H6" s="33"/>
      <c r="I6" s="33"/>
      <c r="J6" s="33"/>
      <c r="K6" s="33"/>
      <c r="L6" s="33"/>
      <c r="M6" s="33"/>
      <c r="N6" s="33"/>
      <c r="O6" s="33"/>
      <c r="P6" s="33"/>
      <c r="Q6" s="33"/>
      <c r="U6" s="33"/>
    </row>
    <row r="7" spans="1:22" ht="15.75">
      <c r="A7" s="849" t="s">
        <v>817</v>
      </c>
      <c r="B7" s="849"/>
      <c r="C7" s="849"/>
      <c r="D7" s="849"/>
      <c r="E7" s="849"/>
      <c r="F7" s="849"/>
      <c r="G7" s="849"/>
      <c r="H7" s="849"/>
      <c r="I7" s="849"/>
      <c r="J7" s="849"/>
      <c r="K7" s="849"/>
      <c r="L7" s="849"/>
      <c r="M7" s="849"/>
      <c r="N7" s="849"/>
      <c r="O7" s="849"/>
      <c r="P7" s="849"/>
      <c r="Q7" s="849"/>
      <c r="R7" s="849"/>
      <c r="S7" s="849"/>
      <c r="T7" s="849"/>
      <c r="U7" s="849"/>
      <c r="V7" s="849"/>
    </row>
    <row r="8" spans="1:22" ht="15.75">
      <c r="A8" s="44"/>
      <c r="B8" s="37"/>
      <c r="C8" s="37"/>
      <c r="D8" s="37"/>
      <c r="E8" s="37"/>
      <c r="F8" s="37"/>
      <c r="G8" s="37"/>
      <c r="H8" s="37"/>
      <c r="I8" s="37"/>
      <c r="J8" s="37"/>
      <c r="K8" s="37"/>
      <c r="L8" s="37"/>
      <c r="M8" s="37"/>
      <c r="N8" s="37"/>
      <c r="O8" s="37"/>
      <c r="P8" s="966" t="s">
        <v>221</v>
      </c>
      <c r="Q8" s="966"/>
      <c r="R8" s="966"/>
      <c r="S8" s="966"/>
      <c r="T8" s="966"/>
      <c r="U8" s="966"/>
      <c r="V8" s="966"/>
    </row>
    <row r="9" spans="1:22">
      <c r="P9" s="914" t="s">
        <v>831</v>
      </c>
      <c r="Q9" s="914"/>
      <c r="R9" s="914"/>
      <c r="S9" s="914"/>
      <c r="T9" s="914"/>
      <c r="U9" s="914"/>
      <c r="V9" s="914"/>
    </row>
    <row r="10" spans="1:22" ht="28.5" customHeight="1">
      <c r="A10" s="960" t="s">
        <v>24</v>
      </c>
      <c r="B10" s="917" t="s">
        <v>201</v>
      </c>
      <c r="C10" s="917" t="s">
        <v>370</v>
      </c>
      <c r="D10" s="917" t="s">
        <v>476</v>
      </c>
      <c r="E10" s="851" t="s">
        <v>856</v>
      </c>
      <c r="F10" s="851"/>
      <c r="G10" s="851"/>
      <c r="H10" s="821" t="s">
        <v>826</v>
      </c>
      <c r="I10" s="822"/>
      <c r="J10" s="823"/>
      <c r="K10" s="952" t="s">
        <v>372</v>
      </c>
      <c r="L10" s="953"/>
      <c r="M10" s="954"/>
      <c r="N10" s="963" t="s">
        <v>156</v>
      </c>
      <c r="O10" s="964"/>
      <c r="P10" s="965"/>
      <c r="Q10" s="834" t="s">
        <v>857</v>
      </c>
      <c r="R10" s="834"/>
      <c r="S10" s="834"/>
      <c r="T10" s="917" t="s">
        <v>243</v>
      </c>
      <c r="U10" s="917" t="s">
        <v>425</v>
      </c>
      <c r="V10" s="917" t="s">
        <v>373</v>
      </c>
    </row>
    <row r="11" spans="1:22" ht="69" customHeight="1">
      <c r="A11" s="961"/>
      <c r="B11" s="918"/>
      <c r="C11" s="918"/>
      <c r="D11" s="918"/>
      <c r="E11" s="5" t="s">
        <v>176</v>
      </c>
      <c r="F11" s="5" t="s">
        <v>202</v>
      </c>
      <c r="G11" s="5" t="s">
        <v>17</v>
      </c>
      <c r="H11" s="5" t="s">
        <v>176</v>
      </c>
      <c r="I11" s="5" t="s">
        <v>202</v>
      </c>
      <c r="J11" s="5" t="s">
        <v>17</v>
      </c>
      <c r="K11" s="5" t="s">
        <v>176</v>
      </c>
      <c r="L11" s="5" t="s">
        <v>202</v>
      </c>
      <c r="M11" s="5" t="s">
        <v>17</v>
      </c>
      <c r="N11" s="5" t="s">
        <v>176</v>
      </c>
      <c r="O11" s="5" t="s">
        <v>202</v>
      </c>
      <c r="P11" s="5" t="s">
        <v>17</v>
      </c>
      <c r="Q11" s="5" t="s">
        <v>231</v>
      </c>
      <c r="R11" s="5" t="s">
        <v>213</v>
      </c>
      <c r="S11" s="5" t="s">
        <v>214</v>
      </c>
      <c r="T11" s="918"/>
      <c r="U11" s="918"/>
      <c r="V11" s="918"/>
    </row>
    <row r="12" spans="1:22">
      <c r="A12" s="155">
        <v>1</v>
      </c>
      <c r="B12" s="105">
        <v>2</v>
      </c>
      <c r="C12" s="8">
        <v>3</v>
      </c>
      <c r="D12" s="155">
        <v>4</v>
      </c>
      <c r="E12" s="105">
        <v>5</v>
      </c>
      <c r="F12" s="8">
        <v>6</v>
      </c>
      <c r="G12" s="155">
        <v>7</v>
      </c>
      <c r="H12" s="105">
        <v>8</v>
      </c>
      <c r="I12" s="8">
        <v>9</v>
      </c>
      <c r="J12" s="155">
        <v>10</v>
      </c>
      <c r="K12" s="105">
        <v>11</v>
      </c>
      <c r="L12" s="8">
        <v>12</v>
      </c>
      <c r="M12" s="155">
        <v>13</v>
      </c>
      <c r="N12" s="105">
        <v>14</v>
      </c>
      <c r="O12" s="8">
        <v>15</v>
      </c>
      <c r="P12" s="155">
        <v>16</v>
      </c>
      <c r="Q12" s="105">
        <v>17</v>
      </c>
      <c r="R12" s="8">
        <v>18</v>
      </c>
      <c r="S12" s="155">
        <v>19</v>
      </c>
      <c r="T12" s="105">
        <v>20</v>
      </c>
      <c r="U12" s="155">
        <v>21</v>
      </c>
      <c r="V12" s="105">
        <v>22</v>
      </c>
    </row>
    <row r="13" spans="1:22">
      <c r="A13" s="17">
        <v>1</v>
      </c>
      <c r="B13" s="156" t="s">
        <v>912</v>
      </c>
      <c r="C13" s="9">
        <v>1186</v>
      </c>
      <c r="D13" s="9">
        <v>1211</v>
      </c>
      <c r="E13" s="370">
        <f>H13+K13</f>
        <v>71.260000000000005</v>
      </c>
      <c r="F13" s="370">
        <f>I13+L13</f>
        <v>255.60004113858821</v>
      </c>
      <c r="G13" s="370">
        <f>E13+F13</f>
        <v>326.8600411385882</v>
      </c>
      <c r="H13" s="370">
        <v>0</v>
      </c>
      <c r="I13" s="370">
        <v>17.860041138588201</v>
      </c>
      <c r="J13" s="370">
        <f>H13+I13</f>
        <v>17.860041138588201</v>
      </c>
      <c r="K13" s="9">
        <v>71.260000000000005</v>
      </c>
      <c r="L13" s="9">
        <v>237.74</v>
      </c>
      <c r="M13" s="370">
        <f>K13+L13</f>
        <v>309</v>
      </c>
      <c r="N13" s="370">
        <v>49.811999999999998</v>
      </c>
      <c r="O13" s="370">
        <v>166.047</v>
      </c>
      <c r="P13" s="370">
        <f>N13+O13</f>
        <v>215.85899999999998</v>
      </c>
      <c r="Q13" s="370">
        <f>H13+K13-N13</f>
        <v>21.448000000000008</v>
      </c>
      <c r="R13" s="370">
        <f>I13+L13-O13</f>
        <v>89.553041138588213</v>
      </c>
      <c r="S13" s="370">
        <f>Q13+R13</f>
        <v>111.00104113858822</v>
      </c>
      <c r="T13" s="18" t="s">
        <v>951</v>
      </c>
      <c r="U13" s="9">
        <f>D13</f>
        <v>1211</v>
      </c>
      <c r="V13" s="9">
        <f>D13</f>
        <v>1211</v>
      </c>
    </row>
    <row r="14" spans="1:22">
      <c r="A14" s="17">
        <v>2</v>
      </c>
      <c r="B14" s="156" t="s">
        <v>913</v>
      </c>
      <c r="C14" s="9">
        <v>1715</v>
      </c>
      <c r="D14" s="9">
        <v>1715</v>
      </c>
      <c r="E14" s="370">
        <f t="shared" ref="E14:E46" si="0">H14+K14</f>
        <v>103.36999999999998</v>
      </c>
      <c r="F14" s="370">
        <f t="shared" ref="F14:F46" si="1">I14+L14</f>
        <v>379.64296622258837</v>
      </c>
      <c r="G14" s="370">
        <f t="shared" ref="G14:G46" si="2">E14+F14</f>
        <v>483.01296622258837</v>
      </c>
      <c r="H14" s="370">
        <v>0</v>
      </c>
      <c r="I14" s="370">
        <v>34.412966222588352</v>
      </c>
      <c r="J14" s="370">
        <f t="shared" ref="J14:J46" si="3">H14+I14</f>
        <v>34.412966222588352</v>
      </c>
      <c r="K14" s="9">
        <v>103.36999999999998</v>
      </c>
      <c r="L14" s="9">
        <v>345.23</v>
      </c>
      <c r="M14" s="370">
        <f t="shared" ref="M14:M46" si="4">K14+L14</f>
        <v>448.6</v>
      </c>
      <c r="N14" s="370">
        <v>72.03</v>
      </c>
      <c r="O14" s="370">
        <v>240.76499999999999</v>
      </c>
      <c r="P14" s="370">
        <f t="shared" ref="P14:P46" si="5">N14+O14</f>
        <v>312.79499999999996</v>
      </c>
      <c r="Q14" s="370">
        <f t="shared" ref="Q14:Q46" si="6">H14+K14-N14</f>
        <v>31.339999999999975</v>
      </c>
      <c r="R14" s="370">
        <f t="shared" ref="R14:R46" si="7">I14+L14-O14</f>
        <v>138.87796622258838</v>
      </c>
      <c r="S14" s="370">
        <f t="shared" ref="S14:S46" si="8">Q14+R14</f>
        <v>170.21796622258836</v>
      </c>
      <c r="T14" s="18" t="s">
        <v>951</v>
      </c>
      <c r="U14" s="9">
        <f t="shared" ref="U14:U46" si="9">D14</f>
        <v>1715</v>
      </c>
      <c r="V14" s="9">
        <f t="shared" ref="V14:V46" si="10">D14</f>
        <v>1715</v>
      </c>
    </row>
    <row r="15" spans="1:22" ht="16.5" customHeight="1">
      <c r="A15" s="415">
        <v>3</v>
      </c>
      <c r="B15" s="156" t="s">
        <v>914</v>
      </c>
      <c r="C15" s="9">
        <v>2707</v>
      </c>
      <c r="D15" s="9">
        <v>2659</v>
      </c>
      <c r="E15" s="370">
        <f t="shared" si="0"/>
        <v>162.77000000000001</v>
      </c>
      <c r="F15" s="370">
        <f t="shared" si="1"/>
        <v>628.10604448858828</v>
      </c>
      <c r="G15" s="370">
        <f t="shared" si="2"/>
        <v>790.87604448858826</v>
      </c>
      <c r="H15" s="370">
        <v>0</v>
      </c>
      <c r="I15" s="370">
        <v>73.626044488588263</v>
      </c>
      <c r="J15" s="370">
        <f t="shared" si="3"/>
        <v>73.626044488588263</v>
      </c>
      <c r="K15" s="9">
        <v>162.77000000000001</v>
      </c>
      <c r="L15" s="9">
        <v>554.48</v>
      </c>
      <c r="M15" s="370">
        <f t="shared" si="4"/>
        <v>717.25</v>
      </c>
      <c r="N15" s="370">
        <v>113.694</v>
      </c>
      <c r="O15" s="370">
        <v>387.52</v>
      </c>
      <c r="P15" s="370">
        <f t="shared" si="5"/>
        <v>501.214</v>
      </c>
      <c r="Q15" s="370">
        <f t="shared" si="6"/>
        <v>49.076000000000008</v>
      </c>
      <c r="R15" s="370">
        <f t="shared" si="7"/>
        <v>240.5860444885883</v>
      </c>
      <c r="S15" s="370">
        <f t="shared" si="8"/>
        <v>289.66204448858832</v>
      </c>
      <c r="T15" s="18" t="s">
        <v>951</v>
      </c>
      <c r="U15" s="9">
        <f t="shared" si="9"/>
        <v>2659</v>
      </c>
      <c r="V15" s="9">
        <f t="shared" si="10"/>
        <v>2659</v>
      </c>
    </row>
    <row r="16" spans="1:22" ht="16.5" customHeight="1">
      <c r="A16" s="415">
        <v>4</v>
      </c>
      <c r="B16" s="156" t="s">
        <v>915</v>
      </c>
      <c r="C16" s="9">
        <v>2217</v>
      </c>
      <c r="D16" s="9">
        <v>2186</v>
      </c>
      <c r="E16" s="370">
        <f t="shared" si="0"/>
        <v>132.86000000000001</v>
      </c>
      <c r="F16" s="370">
        <f t="shared" si="1"/>
        <v>545.07808841728809</v>
      </c>
      <c r="G16" s="370">
        <f t="shared" si="2"/>
        <v>677.9380884172881</v>
      </c>
      <c r="H16" s="370">
        <v>0</v>
      </c>
      <c r="I16" s="370">
        <v>92.718088417288072</v>
      </c>
      <c r="J16" s="370">
        <f t="shared" si="3"/>
        <v>92.718088417288072</v>
      </c>
      <c r="K16" s="9">
        <v>132.86000000000001</v>
      </c>
      <c r="L16" s="9">
        <v>452.36</v>
      </c>
      <c r="M16" s="370">
        <f t="shared" si="4"/>
        <v>585.22</v>
      </c>
      <c r="N16" s="370">
        <v>93.114000000000004</v>
      </c>
      <c r="O16" s="370">
        <v>316.98099999999999</v>
      </c>
      <c r="P16" s="370">
        <f t="shared" si="5"/>
        <v>410.09500000000003</v>
      </c>
      <c r="Q16" s="370">
        <f t="shared" si="6"/>
        <v>39.746000000000009</v>
      </c>
      <c r="R16" s="370">
        <f t="shared" si="7"/>
        <v>228.09708841728809</v>
      </c>
      <c r="S16" s="370">
        <f t="shared" si="8"/>
        <v>267.84308841728807</v>
      </c>
      <c r="T16" s="18" t="s">
        <v>951</v>
      </c>
      <c r="U16" s="9">
        <f t="shared" si="9"/>
        <v>2186</v>
      </c>
      <c r="V16" s="9">
        <f t="shared" si="10"/>
        <v>2186</v>
      </c>
    </row>
    <row r="17" spans="1:22" ht="16.5" customHeight="1">
      <c r="A17" s="415">
        <v>5</v>
      </c>
      <c r="B17" s="156" t="s">
        <v>916</v>
      </c>
      <c r="C17" s="9">
        <v>2979</v>
      </c>
      <c r="D17" s="9">
        <v>3309</v>
      </c>
      <c r="E17" s="370">
        <f t="shared" si="0"/>
        <v>179.13</v>
      </c>
      <c r="F17" s="370">
        <f t="shared" si="1"/>
        <v>699.45450284718811</v>
      </c>
      <c r="G17" s="370">
        <f t="shared" si="2"/>
        <v>878.58450284718811</v>
      </c>
      <c r="H17" s="370">
        <v>0</v>
      </c>
      <c r="I17" s="370">
        <v>90.254502847188064</v>
      </c>
      <c r="J17" s="370">
        <f t="shared" si="3"/>
        <v>90.254502847188064</v>
      </c>
      <c r="K17" s="9">
        <v>179.13</v>
      </c>
      <c r="L17" s="9">
        <v>609.20000000000005</v>
      </c>
      <c r="M17" s="370">
        <f t="shared" si="4"/>
        <v>788.33</v>
      </c>
      <c r="N17" s="370">
        <v>125.11799999999999</v>
      </c>
      <c r="O17" s="370">
        <v>426.19499999999999</v>
      </c>
      <c r="P17" s="370">
        <f t="shared" si="5"/>
        <v>551.31299999999999</v>
      </c>
      <c r="Q17" s="370">
        <f t="shared" si="6"/>
        <v>54.012</v>
      </c>
      <c r="R17" s="370">
        <f t="shared" si="7"/>
        <v>273.25950284718812</v>
      </c>
      <c r="S17" s="370">
        <f t="shared" si="8"/>
        <v>327.27150284718812</v>
      </c>
      <c r="T17" s="18" t="s">
        <v>951</v>
      </c>
      <c r="U17" s="9">
        <f t="shared" si="9"/>
        <v>3309</v>
      </c>
      <c r="V17" s="9">
        <f t="shared" si="10"/>
        <v>3309</v>
      </c>
    </row>
    <row r="18" spans="1:22" ht="16.5" customHeight="1">
      <c r="A18" s="415">
        <v>6</v>
      </c>
      <c r="B18" s="156" t="s">
        <v>917</v>
      </c>
      <c r="C18" s="9">
        <v>1337</v>
      </c>
      <c r="D18" s="9">
        <v>1204</v>
      </c>
      <c r="E18" s="370">
        <f t="shared" si="0"/>
        <v>80.64</v>
      </c>
      <c r="F18" s="370">
        <f t="shared" si="1"/>
        <v>300.26820384958819</v>
      </c>
      <c r="G18" s="370">
        <f t="shared" si="2"/>
        <v>380.90820384958818</v>
      </c>
      <c r="H18" s="370">
        <v>0</v>
      </c>
      <c r="I18" s="370">
        <v>24.988203849588217</v>
      </c>
      <c r="J18" s="370">
        <f t="shared" si="3"/>
        <v>24.988203849588217</v>
      </c>
      <c r="K18" s="9">
        <v>80.64</v>
      </c>
      <c r="L18" s="9">
        <v>275.27999999999997</v>
      </c>
      <c r="M18" s="370">
        <f t="shared" si="4"/>
        <v>355.91999999999996</v>
      </c>
      <c r="N18" s="370">
        <v>56.154000000000003</v>
      </c>
      <c r="O18" s="370">
        <v>191.75800000000001</v>
      </c>
      <c r="P18" s="370">
        <f t="shared" si="5"/>
        <v>247.91200000000001</v>
      </c>
      <c r="Q18" s="370">
        <f t="shared" si="6"/>
        <v>24.485999999999997</v>
      </c>
      <c r="R18" s="370">
        <f t="shared" si="7"/>
        <v>108.51020384958818</v>
      </c>
      <c r="S18" s="370">
        <f t="shared" si="8"/>
        <v>132.99620384958817</v>
      </c>
      <c r="T18" s="18" t="s">
        <v>951</v>
      </c>
      <c r="U18" s="9">
        <f t="shared" si="9"/>
        <v>1204</v>
      </c>
      <c r="V18" s="9">
        <f t="shared" si="10"/>
        <v>1204</v>
      </c>
    </row>
    <row r="19" spans="1:22" ht="16.5" customHeight="1">
      <c r="A19" s="415">
        <v>7</v>
      </c>
      <c r="B19" s="156" t="s">
        <v>918</v>
      </c>
      <c r="C19" s="9">
        <v>1138</v>
      </c>
      <c r="D19" s="9">
        <v>1435</v>
      </c>
      <c r="E19" s="370">
        <f t="shared" si="0"/>
        <v>67.97</v>
      </c>
      <c r="F19" s="370">
        <f t="shared" si="1"/>
        <v>287.01000950478817</v>
      </c>
      <c r="G19" s="370">
        <f t="shared" si="2"/>
        <v>354.9800095047882</v>
      </c>
      <c r="H19" s="370">
        <v>0</v>
      </c>
      <c r="I19" s="370">
        <v>53.890009504788168</v>
      </c>
      <c r="J19" s="370">
        <f t="shared" si="3"/>
        <v>53.890009504788168</v>
      </c>
      <c r="K19" s="9">
        <v>67.97</v>
      </c>
      <c r="L19" s="9">
        <v>233.12</v>
      </c>
      <c r="M19" s="370">
        <f t="shared" si="4"/>
        <v>301.09000000000003</v>
      </c>
      <c r="N19" s="370">
        <v>47.795999999999999</v>
      </c>
      <c r="O19" s="370">
        <v>163.821</v>
      </c>
      <c r="P19" s="370">
        <f t="shared" si="5"/>
        <v>211.61699999999999</v>
      </c>
      <c r="Q19" s="370">
        <f t="shared" si="6"/>
        <v>20.173999999999999</v>
      </c>
      <c r="R19" s="370">
        <f t="shared" si="7"/>
        <v>123.18900950478817</v>
      </c>
      <c r="S19" s="370">
        <f t="shared" si="8"/>
        <v>143.36300950478818</v>
      </c>
      <c r="T19" s="18" t="s">
        <v>951</v>
      </c>
      <c r="U19" s="9">
        <f t="shared" si="9"/>
        <v>1435</v>
      </c>
      <c r="V19" s="9">
        <f t="shared" si="10"/>
        <v>1435</v>
      </c>
    </row>
    <row r="20" spans="1:22" ht="16.5" customHeight="1">
      <c r="A20" s="415">
        <v>8</v>
      </c>
      <c r="B20" s="156" t="s">
        <v>919</v>
      </c>
      <c r="C20" s="9">
        <v>1993</v>
      </c>
      <c r="D20" s="9">
        <v>1825</v>
      </c>
      <c r="E20" s="370">
        <f t="shared" si="0"/>
        <v>119.39</v>
      </c>
      <c r="F20" s="370">
        <f t="shared" si="1"/>
        <v>514.33007736858826</v>
      </c>
      <c r="G20" s="370">
        <f t="shared" si="2"/>
        <v>633.72007736858825</v>
      </c>
      <c r="H20" s="370">
        <v>0</v>
      </c>
      <c r="I20" s="370">
        <v>107.68007736858829</v>
      </c>
      <c r="J20" s="370">
        <f t="shared" si="3"/>
        <v>107.68007736858829</v>
      </c>
      <c r="K20" s="9">
        <v>119.39</v>
      </c>
      <c r="L20" s="9">
        <v>406.65</v>
      </c>
      <c r="M20" s="370">
        <f t="shared" si="4"/>
        <v>526.04</v>
      </c>
      <c r="N20" s="370">
        <v>83.706000000000003</v>
      </c>
      <c r="O20" s="370">
        <v>284.76</v>
      </c>
      <c r="P20" s="370">
        <f t="shared" si="5"/>
        <v>368.46600000000001</v>
      </c>
      <c r="Q20" s="370">
        <f t="shared" si="6"/>
        <v>35.683999999999997</v>
      </c>
      <c r="R20" s="370">
        <f t="shared" si="7"/>
        <v>229.57007736858827</v>
      </c>
      <c r="S20" s="370">
        <f t="shared" si="8"/>
        <v>265.25407736858824</v>
      </c>
      <c r="T20" s="18" t="s">
        <v>951</v>
      </c>
      <c r="U20" s="9">
        <f t="shared" si="9"/>
        <v>1825</v>
      </c>
      <c r="V20" s="9">
        <f t="shared" si="10"/>
        <v>1825</v>
      </c>
    </row>
    <row r="21" spans="1:22" ht="16.5" customHeight="1">
      <c r="A21" s="415">
        <v>9</v>
      </c>
      <c r="B21" s="156" t="s">
        <v>920</v>
      </c>
      <c r="C21" s="9">
        <v>1290</v>
      </c>
      <c r="D21" s="9">
        <v>1200</v>
      </c>
      <c r="E21" s="370">
        <f t="shared" si="0"/>
        <v>76.960000000000008</v>
      </c>
      <c r="F21" s="370">
        <f t="shared" si="1"/>
        <v>340.44470606498822</v>
      </c>
      <c r="G21" s="370">
        <f t="shared" si="2"/>
        <v>417.4047060649882</v>
      </c>
      <c r="H21" s="370">
        <v>0</v>
      </c>
      <c r="I21" s="370">
        <v>76.944706064988225</v>
      </c>
      <c r="J21" s="370">
        <f t="shared" si="3"/>
        <v>76.944706064988225</v>
      </c>
      <c r="K21" s="9">
        <v>76.960000000000008</v>
      </c>
      <c r="L21" s="9">
        <v>263.5</v>
      </c>
      <c r="M21" s="370">
        <f t="shared" si="4"/>
        <v>340.46000000000004</v>
      </c>
      <c r="N21" s="370">
        <v>54.18</v>
      </c>
      <c r="O21" s="370">
        <v>185.38800000000001</v>
      </c>
      <c r="P21" s="370">
        <f t="shared" si="5"/>
        <v>239.56800000000001</v>
      </c>
      <c r="Q21" s="370">
        <f t="shared" si="6"/>
        <v>22.780000000000008</v>
      </c>
      <c r="R21" s="370">
        <f t="shared" si="7"/>
        <v>155.05670606498822</v>
      </c>
      <c r="S21" s="370">
        <f t="shared" si="8"/>
        <v>177.83670606498822</v>
      </c>
      <c r="T21" s="18" t="s">
        <v>951</v>
      </c>
      <c r="U21" s="9">
        <f t="shared" si="9"/>
        <v>1200</v>
      </c>
      <c r="V21" s="9">
        <f t="shared" si="10"/>
        <v>1200</v>
      </c>
    </row>
    <row r="22" spans="1:22" ht="16.5" customHeight="1">
      <c r="A22" s="415">
        <v>10</v>
      </c>
      <c r="B22" s="156" t="s">
        <v>921</v>
      </c>
      <c r="C22" s="9">
        <v>2289</v>
      </c>
      <c r="D22" s="9">
        <v>2456</v>
      </c>
      <c r="E22" s="370">
        <f t="shared" si="0"/>
        <v>137.01</v>
      </c>
      <c r="F22" s="370">
        <f t="shared" si="1"/>
        <v>549.48287044128824</v>
      </c>
      <c r="G22" s="370">
        <f t="shared" si="2"/>
        <v>686.49287044128823</v>
      </c>
      <c r="H22" s="370">
        <v>0</v>
      </c>
      <c r="I22" s="370">
        <v>81.942870441288278</v>
      </c>
      <c r="J22" s="370">
        <f t="shared" si="3"/>
        <v>81.942870441288278</v>
      </c>
      <c r="K22" s="9">
        <v>137.01</v>
      </c>
      <c r="L22" s="9">
        <v>467.53999999999996</v>
      </c>
      <c r="M22" s="370">
        <f t="shared" si="4"/>
        <v>604.54999999999995</v>
      </c>
      <c r="N22" s="370">
        <v>96.138000000000005</v>
      </c>
      <c r="O22" s="370">
        <v>327.28500000000003</v>
      </c>
      <c r="P22" s="370">
        <f t="shared" si="5"/>
        <v>423.423</v>
      </c>
      <c r="Q22" s="370">
        <f t="shared" si="6"/>
        <v>40.871999999999986</v>
      </c>
      <c r="R22" s="370">
        <f t="shared" si="7"/>
        <v>222.19787044128822</v>
      </c>
      <c r="S22" s="370">
        <f t="shared" si="8"/>
        <v>263.06987044128823</v>
      </c>
      <c r="T22" s="18" t="s">
        <v>951</v>
      </c>
      <c r="U22" s="9">
        <f t="shared" si="9"/>
        <v>2456</v>
      </c>
      <c r="V22" s="9">
        <f t="shared" si="10"/>
        <v>2456</v>
      </c>
    </row>
    <row r="23" spans="1:22" ht="16.5" customHeight="1">
      <c r="A23" s="415">
        <v>11</v>
      </c>
      <c r="B23" s="156" t="s">
        <v>922</v>
      </c>
      <c r="C23" s="9">
        <v>1659</v>
      </c>
      <c r="D23" s="9">
        <v>1744</v>
      </c>
      <c r="E23" s="370">
        <f t="shared" si="0"/>
        <v>99.26</v>
      </c>
      <c r="F23" s="370">
        <f t="shared" si="1"/>
        <v>471.78119573668823</v>
      </c>
      <c r="G23" s="370">
        <f t="shared" si="2"/>
        <v>571.04119573668822</v>
      </c>
      <c r="H23" s="370">
        <v>0</v>
      </c>
      <c r="I23" s="370">
        <v>135.29119573668822</v>
      </c>
      <c r="J23" s="370">
        <f t="shared" si="3"/>
        <v>135.29119573668822</v>
      </c>
      <c r="K23" s="9">
        <v>99.26</v>
      </c>
      <c r="L23" s="9">
        <v>336.49</v>
      </c>
      <c r="M23" s="370">
        <f t="shared" si="4"/>
        <v>435.75</v>
      </c>
      <c r="N23" s="370">
        <v>69.677999999999997</v>
      </c>
      <c r="O23" s="370">
        <v>236.62799999999999</v>
      </c>
      <c r="P23" s="370">
        <f t="shared" si="5"/>
        <v>306.30599999999998</v>
      </c>
      <c r="Q23" s="370">
        <f t="shared" si="6"/>
        <v>29.582000000000008</v>
      </c>
      <c r="R23" s="370">
        <f t="shared" si="7"/>
        <v>235.15319573668825</v>
      </c>
      <c r="S23" s="370">
        <f t="shared" si="8"/>
        <v>264.73519573668824</v>
      </c>
      <c r="T23" s="18" t="s">
        <v>951</v>
      </c>
      <c r="U23" s="9">
        <f t="shared" si="9"/>
        <v>1744</v>
      </c>
      <c r="V23" s="9">
        <f t="shared" si="10"/>
        <v>1744</v>
      </c>
    </row>
    <row r="24" spans="1:22" ht="16.5" customHeight="1">
      <c r="A24" s="415">
        <v>12</v>
      </c>
      <c r="B24" s="156" t="s">
        <v>923</v>
      </c>
      <c r="C24" s="9">
        <v>3220</v>
      </c>
      <c r="D24" s="9">
        <v>3589</v>
      </c>
      <c r="E24" s="370">
        <f t="shared" si="0"/>
        <v>193.21</v>
      </c>
      <c r="F24" s="370">
        <f t="shared" si="1"/>
        <v>801.39216157150815</v>
      </c>
      <c r="G24" s="370">
        <f t="shared" si="2"/>
        <v>994.60216157150819</v>
      </c>
      <c r="H24" s="370">
        <v>0</v>
      </c>
      <c r="I24" s="370">
        <v>145.24216157150806</v>
      </c>
      <c r="J24" s="370">
        <f t="shared" si="3"/>
        <v>145.24216157150806</v>
      </c>
      <c r="K24" s="9">
        <v>193.21</v>
      </c>
      <c r="L24" s="9">
        <v>656.15000000000009</v>
      </c>
      <c r="M24" s="370">
        <f t="shared" si="4"/>
        <v>849.36000000000013</v>
      </c>
      <c r="N24" s="370">
        <v>135.24</v>
      </c>
      <c r="O24" s="370">
        <v>458.87099999999998</v>
      </c>
      <c r="P24" s="370">
        <f t="shared" si="5"/>
        <v>594.11099999999999</v>
      </c>
      <c r="Q24" s="370">
        <f t="shared" si="6"/>
        <v>57.97</v>
      </c>
      <c r="R24" s="370">
        <f t="shared" si="7"/>
        <v>342.52116157150817</v>
      </c>
      <c r="S24" s="370">
        <f t="shared" si="8"/>
        <v>400.4911615715082</v>
      </c>
      <c r="T24" s="18" t="s">
        <v>951</v>
      </c>
      <c r="U24" s="9">
        <f t="shared" si="9"/>
        <v>3589</v>
      </c>
      <c r="V24" s="9">
        <f t="shared" si="10"/>
        <v>3589</v>
      </c>
    </row>
    <row r="25" spans="1:22" ht="16.5" customHeight="1">
      <c r="A25" s="415">
        <v>13</v>
      </c>
      <c r="B25" s="156" t="s">
        <v>924</v>
      </c>
      <c r="C25" s="9">
        <v>2560</v>
      </c>
      <c r="D25" s="9">
        <v>2589</v>
      </c>
      <c r="E25" s="370">
        <f t="shared" si="0"/>
        <v>153.56</v>
      </c>
      <c r="F25" s="370">
        <f t="shared" si="1"/>
        <v>642.32257094411841</v>
      </c>
      <c r="G25" s="370">
        <f t="shared" si="2"/>
        <v>795.88257094411847</v>
      </c>
      <c r="H25" s="370">
        <v>0</v>
      </c>
      <c r="I25" s="370">
        <v>118.49257094411848</v>
      </c>
      <c r="J25" s="370">
        <f t="shared" si="3"/>
        <v>118.49257094411848</v>
      </c>
      <c r="K25" s="9">
        <v>153.56</v>
      </c>
      <c r="L25" s="9">
        <v>523.82999999999993</v>
      </c>
      <c r="M25" s="370">
        <f t="shared" si="4"/>
        <v>677.38999999999987</v>
      </c>
      <c r="N25" s="370">
        <v>107.52</v>
      </c>
      <c r="O25" s="370">
        <v>366.33800000000002</v>
      </c>
      <c r="P25" s="370">
        <f t="shared" si="5"/>
        <v>473.858</v>
      </c>
      <c r="Q25" s="370">
        <f t="shared" si="6"/>
        <v>46.040000000000006</v>
      </c>
      <c r="R25" s="370">
        <f t="shared" si="7"/>
        <v>275.98457094411839</v>
      </c>
      <c r="S25" s="370">
        <f t="shared" si="8"/>
        <v>322.02457094411841</v>
      </c>
      <c r="T25" s="18" t="s">
        <v>951</v>
      </c>
      <c r="U25" s="9">
        <f t="shared" si="9"/>
        <v>2589</v>
      </c>
      <c r="V25" s="9">
        <f t="shared" si="10"/>
        <v>2589</v>
      </c>
    </row>
    <row r="26" spans="1:22" ht="16.5" customHeight="1">
      <c r="A26" s="415">
        <v>14</v>
      </c>
      <c r="B26" s="156" t="s">
        <v>925</v>
      </c>
      <c r="C26" s="9">
        <v>1367</v>
      </c>
      <c r="D26" s="9">
        <v>1455</v>
      </c>
      <c r="E26" s="370">
        <f t="shared" si="0"/>
        <v>81.95</v>
      </c>
      <c r="F26" s="370">
        <f t="shared" si="1"/>
        <v>316.39743214228821</v>
      </c>
      <c r="G26" s="370">
        <f t="shared" si="2"/>
        <v>398.3474321422882</v>
      </c>
      <c r="H26" s="370">
        <v>0</v>
      </c>
      <c r="I26" s="370">
        <v>38.197432142288278</v>
      </c>
      <c r="J26" s="370">
        <f t="shared" si="3"/>
        <v>38.197432142288278</v>
      </c>
      <c r="K26" s="9">
        <v>81.95</v>
      </c>
      <c r="L26" s="9">
        <v>278.19999999999993</v>
      </c>
      <c r="M26" s="370">
        <f t="shared" si="4"/>
        <v>360.14999999999992</v>
      </c>
      <c r="N26" s="370">
        <v>57.414000000000001</v>
      </c>
      <c r="O26" s="370">
        <v>194.768</v>
      </c>
      <c r="P26" s="370">
        <f t="shared" si="5"/>
        <v>252.18200000000002</v>
      </c>
      <c r="Q26" s="370">
        <f t="shared" si="6"/>
        <v>24.536000000000001</v>
      </c>
      <c r="R26" s="370">
        <f t="shared" si="7"/>
        <v>121.62943214228821</v>
      </c>
      <c r="S26" s="370">
        <f t="shared" si="8"/>
        <v>146.16543214228821</v>
      </c>
      <c r="T26" s="18" t="s">
        <v>951</v>
      </c>
      <c r="U26" s="9">
        <f t="shared" si="9"/>
        <v>1455</v>
      </c>
      <c r="V26" s="9">
        <f t="shared" si="10"/>
        <v>1455</v>
      </c>
    </row>
    <row r="27" spans="1:22" ht="16.5" customHeight="1">
      <c r="A27" s="415">
        <v>15</v>
      </c>
      <c r="B27" s="156" t="s">
        <v>926</v>
      </c>
      <c r="C27" s="9">
        <v>853</v>
      </c>
      <c r="D27" s="9">
        <v>803</v>
      </c>
      <c r="E27" s="370">
        <f t="shared" si="0"/>
        <v>51.28</v>
      </c>
      <c r="F27" s="370">
        <f t="shared" si="1"/>
        <v>219.49964930668827</v>
      </c>
      <c r="G27" s="370">
        <f t="shared" si="2"/>
        <v>270.77964930668827</v>
      </c>
      <c r="H27" s="370">
        <v>0</v>
      </c>
      <c r="I27" s="370">
        <v>45.769649306688251</v>
      </c>
      <c r="J27" s="370">
        <f t="shared" si="3"/>
        <v>45.769649306688251</v>
      </c>
      <c r="K27" s="9">
        <v>51.28</v>
      </c>
      <c r="L27" s="9">
        <v>173.73000000000002</v>
      </c>
      <c r="M27" s="370">
        <f t="shared" si="4"/>
        <v>225.01000000000002</v>
      </c>
      <c r="N27" s="370">
        <v>35.826000000000001</v>
      </c>
      <c r="O27" s="370">
        <v>121.996</v>
      </c>
      <c r="P27" s="370">
        <f t="shared" si="5"/>
        <v>157.822</v>
      </c>
      <c r="Q27" s="370">
        <f t="shared" si="6"/>
        <v>15.454000000000001</v>
      </c>
      <c r="R27" s="370">
        <f t="shared" si="7"/>
        <v>97.503649306688274</v>
      </c>
      <c r="S27" s="370">
        <f t="shared" si="8"/>
        <v>112.95764930668827</v>
      </c>
      <c r="T27" s="18" t="s">
        <v>951</v>
      </c>
      <c r="U27" s="9">
        <f t="shared" si="9"/>
        <v>803</v>
      </c>
      <c r="V27" s="9">
        <f t="shared" si="10"/>
        <v>803</v>
      </c>
    </row>
    <row r="28" spans="1:22" ht="16.5" customHeight="1">
      <c r="A28" s="415">
        <v>16</v>
      </c>
      <c r="B28" s="156" t="s">
        <v>927</v>
      </c>
      <c r="C28" s="9">
        <v>2871</v>
      </c>
      <c r="D28" s="9">
        <v>2854</v>
      </c>
      <c r="E28" s="370">
        <f t="shared" si="0"/>
        <v>172</v>
      </c>
      <c r="F28" s="370">
        <f t="shared" si="1"/>
        <v>706.13172846318821</v>
      </c>
      <c r="G28" s="370">
        <f t="shared" si="2"/>
        <v>878.13172846318821</v>
      </c>
      <c r="H28" s="370">
        <v>0</v>
      </c>
      <c r="I28" s="370">
        <v>119.80172846318817</v>
      </c>
      <c r="J28" s="370">
        <f t="shared" si="3"/>
        <v>119.80172846318817</v>
      </c>
      <c r="K28" s="9">
        <v>172</v>
      </c>
      <c r="L28" s="9">
        <v>586.33000000000004</v>
      </c>
      <c r="M28" s="370">
        <f t="shared" si="4"/>
        <v>758.33</v>
      </c>
      <c r="N28" s="370">
        <v>120.58199999999999</v>
      </c>
      <c r="O28" s="370">
        <v>411.55799999999999</v>
      </c>
      <c r="P28" s="370">
        <f t="shared" si="5"/>
        <v>532.14</v>
      </c>
      <c r="Q28" s="370">
        <f t="shared" si="6"/>
        <v>51.418000000000006</v>
      </c>
      <c r="R28" s="370">
        <f t="shared" si="7"/>
        <v>294.57372846318822</v>
      </c>
      <c r="S28" s="370">
        <f t="shared" si="8"/>
        <v>345.99172846318822</v>
      </c>
      <c r="T28" s="18" t="s">
        <v>951</v>
      </c>
      <c r="U28" s="9">
        <f t="shared" si="9"/>
        <v>2854</v>
      </c>
      <c r="V28" s="9">
        <f t="shared" si="10"/>
        <v>2854</v>
      </c>
    </row>
    <row r="29" spans="1:22" ht="16.5" customHeight="1">
      <c r="A29" s="415">
        <v>17</v>
      </c>
      <c r="B29" s="156" t="s">
        <v>928</v>
      </c>
      <c r="C29" s="9">
        <v>1830</v>
      </c>
      <c r="D29" s="9">
        <v>1810</v>
      </c>
      <c r="E29" s="370">
        <f t="shared" si="0"/>
        <v>109.67</v>
      </c>
      <c r="F29" s="370">
        <f t="shared" si="1"/>
        <v>467.09534084428827</v>
      </c>
      <c r="G29" s="370">
        <f t="shared" si="2"/>
        <v>576.76534084428829</v>
      </c>
      <c r="H29" s="370">
        <v>0</v>
      </c>
      <c r="I29" s="370">
        <v>92.515340844288289</v>
      </c>
      <c r="J29" s="370">
        <f t="shared" si="3"/>
        <v>92.515340844288289</v>
      </c>
      <c r="K29" s="9">
        <v>109.67</v>
      </c>
      <c r="L29" s="9">
        <v>374.58</v>
      </c>
      <c r="M29" s="370">
        <f t="shared" si="4"/>
        <v>484.25</v>
      </c>
      <c r="N29" s="370">
        <v>76.86</v>
      </c>
      <c r="O29" s="370">
        <v>262.584</v>
      </c>
      <c r="P29" s="370">
        <f t="shared" si="5"/>
        <v>339.44400000000002</v>
      </c>
      <c r="Q29" s="370">
        <f t="shared" si="6"/>
        <v>32.81</v>
      </c>
      <c r="R29" s="370">
        <f t="shared" si="7"/>
        <v>204.51134084428827</v>
      </c>
      <c r="S29" s="370">
        <f t="shared" si="8"/>
        <v>237.32134084428827</v>
      </c>
      <c r="T29" s="18" t="s">
        <v>951</v>
      </c>
      <c r="U29" s="9">
        <f t="shared" si="9"/>
        <v>1810</v>
      </c>
      <c r="V29" s="9">
        <f t="shared" si="10"/>
        <v>1810</v>
      </c>
    </row>
    <row r="30" spans="1:22" ht="16.5" customHeight="1">
      <c r="A30" s="415">
        <v>18</v>
      </c>
      <c r="B30" s="156" t="s">
        <v>929</v>
      </c>
      <c r="C30" s="9">
        <v>2542</v>
      </c>
      <c r="D30" s="9">
        <v>2881</v>
      </c>
      <c r="E30" s="370">
        <f t="shared" si="0"/>
        <v>152.69</v>
      </c>
      <c r="F30" s="370">
        <f t="shared" si="1"/>
        <v>543.83254213518831</v>
      </c>
      <c r="G30" s="370">
        <f t="shared" si="2"/>
        <v>696.52254213518836</v>
      </c>
      <c r="H30" s="370">
        <v>0</v>
      </c>
      <c r="I30" s="370">
        <v>26.282542135188351</v>
      </c>
      <c r="J30" s="370">
        <f t="shared" si="3"/>
        <v>26.282542135188351</v>
      </c>
      <c r="K30" s="9">
        <v>152.69</v>
      </c>
      <c r="L30" s="9">
        <v>517.54999999999995</v>
      </c>
      <c r="M30" s="370">
        <f t="shared" si="4"/>
        <v>670.24</v>
      </c>
      <c r="N30" s="370">
        <v>106.764</v>
      </c>
      <c r="O30" s="370">
        <v>361.91399999999999</v>
      </c>
      <c r="P30" s="370">
        <f t="shared" si="5"/>
        <v>468.678</v>
      </c>
      <c r="Q30" s="370">
        <f t="shared" si="6"/>
        <v>45.926000000000002</v>
      </c>
      <c r="R30" s="370">
        <f t="shared" si="7"/>
        <v>181.91854213518832</v>
      </c>
      <c r="S30" s="370">
        <f t="shared" si="8"/>
        <v>227.84454213518831</v>
      </c>
      <c r="T30" s="18" t="s">
        <v>951</v>
      </c>
      <c r="U30" s="9">
        <f t="shared" si="9"/>
        <v>2881</v>
      </c>
      <c r="V30" s="9">
        <f t="shared" si="10"/>
        <v>2881</v>
      </c>
    </row>
    <row r="31" spans="1:22" ht="16.5" customHeight="1">
      <c r="A31" s="415">
        <v>19</v>
      </c>
      <c r="B31" s="156" t="s">
        <v>930</v>
      </c>
      <c r="C31" s="9">
        <v>1240</v>
      </c>
      <c r="D31" s="9">
        <v>1251</v>
      </c>
      <c r="E31" s="370">
        <f t="shared" si="0"/>
        <v>74.320000000000007</v>
      </c>
      <c r="F31" s="370">
        <f t="shared" si="1"/>
        <v>323.27073565708821</v>
      </c>
      <c r="G31" s="370">
        <f t="shared" si="2"/>
        <v>397.5907356570882</v>
      </c>
      <c r="H31" s="370">
        <v>0</v>
      </c>
      <c r="I31" s="370">
        <v>70.690735657088226</v>
      </c>
      <c r="J31" s="370">
        <f t="shared" si="3"/>
        <v>70.690735657088226</v>
      </c>
      <c r="K31" s="9">
        <v>74.320000000000007</v>
      </c>
      <c r="L31" s="9">
        <v>252.57999999999998</v>
      </c>
      <c r="M31" s="370">
        <f t="shared" si="4"/>
        <v>326.89999999999998</v>
      </c>
      <c r="N31" s="370">
        <v>52.08</v>
      </c>
      <c r="O31" s="370">
        <v>176.869</v>
      </c>
      <c r="P31" s="370">
        <f t="shared" si="5"/>
        <v>228.94900000000001</v>
      </c>
      <c r="Q31" s="370">
        <f t="shared" si="6"/>
        <v>22.240000000000009</v>
      </c>
      <c r="R31" s="370">
        <f t="shared" si="7"/>
        <v>146.40173565708821</v>
      </c>
      <c r="S31" s="370">
        <f t="shared" si="8"/>
        <v>168.64173565708822</v>
      </c>
      <c r="T31" s="18" t="s">
        <v>951</v>
      </c>
      <c r="U31" s="9">
        <f t="shared" si="9"/>
        <v>1251</v>
      </c>
      <c r="V31" s="9">
        <f t="shared" si="10"/>
        <v>1251</v>
      </c>
    </row>
    <row r="32" spans="1:22" ht="16.5" customHeight="1">
      <c r="A32" s="415">
        <v>20</v>
      </c>
      <c r="B32" s="156" t="s">
        <v>931</v>
      </c>
      <c r="C32" s="9">
        <v>1429</v>
      </c>
      <c r="D32" s="9">
        <v>1922</v>
      </c>
      <c r="E32" s="370">
        <f t="shared" si="0"/>
        <v>85.75</v>
      </c>
      <c r="F32" s="370">
        <f t="shared" si="1"/>
        <v>329.0832817609882</v>
      </c>
      <c r="G32" s="370">
        <f t="shared" si="2"/>
        <v>414.8332817609882</v>
      </c>
      <c r="H32" s="370">
        <v>0</v>
      </c>
      <c r="I32" s="370">
        <v>43.153281760988193</v>
      </c>
      <c r="J32" s="370">
        <f t="shared" si="3"/>
        <v>43.153281760988193</v>
      </c>
      <c r="K32" s="9">
        <v>85.75</v>
      </c>
      <c r="L32" s="9">
        <v>285.93</v>
      </c>
      <c r="M32" s="370">
        <f t="shared" si="4"/>
        <v>371.68</v>
      </c>
      <c r="N32" s="370">
        <v>60.018000000000001</v>
      </c>
      <c r="O32" s="370">
        <v>200.06</v>
      </c>
      <c r="P32" s="370">
        <f t="shared" si="5"/>
        <v>260.07799999999997</v>
      </c>
      <c r="Q32" s="370">
        <f t="shared" si="6"/>
        <v>25.731999999999999</v>
      </c>
      <c r="R32" s="370">
        <f t="shared" si="7"/>
        <v>129.0232817609882</v>
      </c>
      <c r="S32" s="370">
        <f t="shared" si="8"/>
        <v>154.7552817609882</v>
      </c>
      <c r="T32" s="18" t="s">
        <v>951</v>
      </c>
      <c r="U32" s="9">
        <f t="shared" si="9"/>
        <v>1922</v>
      </c>
      <c r="V32" s="9">
        <f t="shared" si="10"/>
        <v>1922</v>
      </c>
    </row>
    <row r="33" spans="1:22" ht="16.5" customHeight="1">
      <c r="A33" s="415">
        <v>21</v>
      </c>
      <c r="B33" s="156" t="s">
        <v>932</v>
      </c>
      <c r="C33" s="9">
        <v>1362</v>
      </c>
      <c r="D33" s="9">
        <v>1336</v>
      </c>
      <c r="E33" s="370">
        <f t="shared" si="0"/>
        <v>81.81</v>
      </c>
      <c r="F33" s="370">
        <f t="shared" si="1"/>
        <v>330.87929313068821</v>
      </c>
      <c r="G33" s="370">
        <f t="shared" si="2"/>
        <v>412.68929313068821</v>
      </c>
      <c r="H33" s="370">
        <v>0</v>
      </c>
      <c r="I33" s="370">
        <v>51.289293130688179</v>
      </c>
      <c r="J33" s="370">
        <f t="shared" si="3"/>
        <v>51.289293130688179</v>
      </c>
      <c r="K33" s="9">
        <v>81.81</v>
      </c>
      <c r="L33" s="9">
        <v>279.59000000000003</v>
      </c>
      <c r="M33" s="370">
        <f t="shared" si="4"/>
        <v>361.40000000000003</v>
      </c>
      <c r="N33" s="370">
        <v>57.204000000000001</v>
      </c>
      <c r="O33" s="370">
        <v>195.167</v>
      </c>
      <c r="P33" s="370">
        <f t="shared" si="5"/>
        <v>252.37100000000001</v>
      </c>
      <c r="Q33" s="370">
        <f t="shared" si="6"/>
        <v>24.606000000000002</v>
      </c>
      <c r="R33" s="370">
        <f t="shared" si="7"/>
        <v>135.71229313068821</v>
      </c>
      <c r="S33" s="370">
        <f t="shared" si="8"/>
        <v>160.3182931306882</v>
      </c>
      <c r="T33" s="18" t="s">
        <v>951</v>
      </c>
      <c r="U33" s="9">
        <f t="shared" si="9"/>
        <v>1336</v>
      </c>
      <c r="V33" s="9">
        <f t="shared" si="10"/>
        <v>1336</v>
      </c>
    </row>
    <row r="34" spans="1:22">
      <c r="A34" s="415">
        <v>22</v>
      </c>
      <c r="B34" s="156" t="s">
        <v>933</v>
      </c>
      <c r="C34" s="9">
        <v>1509</v>
      </c>
      <c r="D34" s="9">
        <v>1491</v>
      </c>
      <c r="E34" s="370">
        <f t="shared" si="0"/>
        <v>90.53</v>
      </c>
      <c r="F34" s="370">
        <f t="shared" si="1"/>
        <v>389.76861392398814</v>
      </c>
      <c r="G34" s="370">
        <f t="shared" si="2"/>
        <v>480.29861392398811</v>
      </c>
      <c r="H34" s="370">
        <v>0</v>
      </c>
      <c r="I34" s="370">
        <v>80.888613923988146</v>
      </c>
      <c r="J34" s="370">
        <f t="shared" si="3"/>
        <v>80.888613923988146</v>
      </c>
      <c r="K34" s="9">
        <v>90.53</v>
      </c>
      <c r="L34" s="9">
        <v>308.88</v>
      </c>
      <c r="M34" s="370">
        <f t="shared" si="4"/>
        <v>399.40999999999997</v>
      </c>
      <c r="N34" s="370">
        <v>63.378</v>
      </c>
      <c r="O34" s="370">
        <v>215.69800000000001</v>
      </c>
      <c r="P34" s="370">
        <f t="shared" si="5"/>
        <v>279.07600000000002</v>
      </c>
      <c r="Q34" s="370">
        <f t="shared" si="6"/>
        <v>27.152000000000001</v>
      </c>
      <c r="R34" s="370">
        <f t="shared" si="7"/>
        <v>174.07061392398813</v>
      </c>
      <c r="S34" s="370">
        <f t="shared" si="8"/>
        <v>201.22261392398815</v>
      </c>
      <c r="T34" s="18" t="s">
        <v>951</v>
      </c>
      <c r="U34" s="9">
        <f t="shared" si="9"/>
        <v>1491</v>
      </c>
      <c r="V34" s="9">
        <f t="shared" si="10"/>
        <v>1491</v>
      </c>
    </row>
    <row r="35" spans="1:22">
      <c r="A35" s="415">
        <v>23</v>
      </c>
      <c r="B35" s="156" t="s">
        <v>934</v>
      </c>
      <c r="C35" s="9">
        <v>1916</v>
      </c>
      <c r="D35" s="9">
        <v>1916</v>
      </c>
      <c r="E35" s="370">
        <f t="shared" si="0"/>
        <v>115.19000000000001</v>
      </c>
      <c r="F35" s="370">
        <f t="shared" si="1"/>
        <v>443.09567842642809</v>
      </c>
      <c r="G35" s="370">
        <f t="shared" si="2"/>
        <v>558.28567842642815</v>
      </c>
      <c r="H35" s="370">
        <v>0</v>
      </c>
      <c r="I35" s="370">
        <v>48.465678426428099</v>
      </c>
      <c r="J35" s="370">
        <f t="shared" si="3"/>
        <v>48.465678426428099</v>
      </c>
      <c r="K35" s="9">
        <v>115.19000000000001</v>
      </c>
      <c r="L35" s="9">
        <v>394.63</v>
      </c>
      <c r="M35" s="370">
        <f t="shared" si="4"/>
        <v>509.82</v>
      </c>
      <c r="N35" s="370">
        <v>80.471999999999994</v>
      </c>
      <c r="O35" s="370">
        <v>274.95999999999998</v>
      </c>
      <c r="P35" s="370">
        <f t="shared" si="5"/>
        <v>355.43199999999996</v>
      </c>
      <c r="Q35" s="370">
        <f t="shared" si="6"/>
        <v>34.718000000000018</v>
      </c>
      <c r="R35" s="370">
        <f t="shared" si="7"/>
        <v>168.13567842642811</v>
      </c>
      <c r="S35" s="370">
        <f t="shared" si="8"/>
        <v>202.85367842642813</v>
      </c>
      <c r="T35" s="18" t="s">
        <v>951</v>
      </c>
      <c r="U35" s="9">
        <f t="shared" si="9"/>
        <v>1916</v>
      </c>
      <c r="V35" s="9">
        <f t="shared" si="10"/>
        <v>1916</v>
      </c>
    </row>
    <row r="36" spans="1:22">
      <c r="A36" s="415">
        <v>24</v>
      </c>
      <c r="B36" s="156" t="s">
        <v>935</v>
      </c>
      <c r="C36" s="9">
        <v>1397</v>
      </c>
      <c r="D36" s="9">
        <v>2076</v>
      </c>
      <c r="E36" s="370">
        <f t="shared" si="0"/>
        <v>83.670000000000016</v>
      </c>
      <c r="F36" s="370">
        <f t="shared" si="1"/>
        <v>322.26745462729599</v>
      </c>
      <c r="G36" s="370">
        <f t="shared" si="2"/>
        <v>405.93745462729601</v>
      </c>
      <c r="H36" s="370">
        <v>0</v>
      </c>
      <c r="I36" s="370">
        <v>38.01745462729599</v>
      </c>
      <c r="J36" s="370">
        <f t="shared" si="3"/>
        <v>38.01745462729599</v>
      </c>
      <c r="K36" s="9">
        <v>83.670000000000016</v>
      </c>
      <c r="L36" s="9">
        <v>284.25</v>
      </c>
      <c r="M36" s="370">
        <f t="shared" si="4"/>
        <v>367.92</v>
      </c>
      <c r="N36" s="370">
        <v>58.673999999999999</v>
      </c>
      <c r="O36" s="370">
        <v>199.5</v>
      </c>
      <c r="P36" s="370">
        <f t="shared" si="5"/>
        <v>258.17399999999998</v>
      </c>
      <c r="Q36" s="370">
        <f t="shared" si="6"/>
        <v>24.996000000000016</v>
      </c>
      <c r="R36" s="370">
        <f t="shared" si="7"/>
        <v>122.76745462729599</v>
      </c>
      <c r="S36" s="370">
        <f t="shared" si="8"/>
        <v>147.763454627296</v>
      </c>
      <c r="T36" s="18" t="s">
        <v>951</v>
      </c>
      <c r="U36" s="9">
        <f t="shared" si="9"/>
        <v>2076</v>
      </c>
      <c r="V36" s="9">
        <f t="shared" si="10"/>
        <v>2076</v>
      </c>
    </row>
    <row r="37" spans="1:22">
      <c r="A37" s="415">
        <v>25</v>
      </c>
      <c r="B37" s="156" t="s">
        <v>936</v>
      </c>
      <c r="C37" s="9">
        <v>3415</v>
      </c>
      <c r="D37" s="9">
        <v>3356</v>
      </c>
      <c r="E37" s="370">
        <f t="shared" si="0"/>
        <v>205.07999999999998</v>
      </c>
      <c r="F37" s="370">
        <f t="shared" si="1"/>
        <v>775.28855369518817</v>
      </c>
      <c r="G37" s="370">
        <f t="shared" si="2"/>
        <v>980.36855369518821</v>
      </c>
      <c r="H37" s="370">
        <v>0</v>
      </c>
      <c r="I37" s="370">
        <v>84.418553695188166</v>
      </c>
      <c r="J37" s="370">
        <f t="shared" si="3"/>
        <v>84.418553695188166</v>
      </c>
      <c r="K37" s="9">
        <v>205.07999999999998</v>
      </c>
      <c r="L37" s="9">
        <v>690.87</v>
      </c>
      <c r="M37" s="370">
        <f t="shared" si="4"/>
        <v>895.95</v>
      </c>
      <c r="N37" s="370">
        <v>143.43</v>
      </c>
      <c r="O37" s="370">
        <v>482.608</v>
      </c>
      <c r="P37" s="370">
        <f t="shared" si="5"/>
        <v>626.03800000000001</v>
      </c>
      <c r="Q37" s="370">
        <f t="shared" si="6"/>
        <v>61.649999999999977</v>
      </c>
      <c r="R37" s="370">
        <f t="shared" si="7"/>
        <v>292.68055369518817</v>
      </c>
      <c r="S37" s="370">
        <f t="shared" si="8"/>
        <v>354.33055369518814</v>
      </c>
      <c r="T37" s="18" t="s">
        <v>951</v>
      </c>
      <c r="U37" s="9">
        <f t="shared" si="9"/>
        <v>3356</v>
      </c>
      <c r="V37" s="9">
        <f t="shared" si="10"/>
        <v>3356</v>
      </c>
    </row>
    <row r="38" spans="1:22">
      <c r="A38" s="415">
        <v>26</v>
      </c>
      <c r="B38" s="156" t="s">
        <v>937</v>
      </c>
      <c r="C38" s="9">
        <v>4323</v>
      </c>
      <c r="D38" s="9">
        <v>4510</v>
      </c>
      <c r="E38" s="370">
        <f t="shared" si="0"/>
        <v>260.07</v>
      </c>
      <c r="F38" s="370">
        <f t="shared" si="1"/>
        <v>1031.4286475539984</v>
      </c>
      <c r="G38" s="370">
        <f t="shared" si="2"/>
        <v>1291.4986475539984</v>
      </c>
      <c r="H38" s="370">
        <v>1.06</v>
      </c>
      <c r="I38" s="370">
        <v>157.15864755399843</v>
      </c>
      <c r="J38" s="370">
        <f t="shared" si="3"/>
        <v>158.21864755399844</v>
      </c>
      <c r="K38" s="9">
        <v>259.01</v>
      </c>
      <c r="L38" s="9">
        <v>874.26999999999987</v>
      </c>
      <c r="M38" s="370">
        <f t="shared" si="4"/>
        <v>1133.2799999999997</v>
      </c>
      <c r="N38" s="370">
        <v>181.566</v>
      </c>
      <c r="O38" s="370">
        <v>612.44399999999996</v>
      </c>
      <c r="P38" s="370">
        <f t="shared" si="5"/>
        <v>794.01</v>
      </c>
      <c r="Q38" s="370">
        <f t="shared" si="6"/>
        <v>78.503999999999991</v>
      </c>
      <c r="R38" s="370">
        <f t="shared" si="7"/>
        <v>418.98464755399846</v>
      </c>
      <c r="S38" s="370">
        <f t="shared" si="8"/>
        <v>497.48864755399848</v>
      </c>
      <c r="T38" s="18" t="s">
        <v>951</v>
      </c>
      <c r="U38" s="9">
        <f t="shared" si="9"/>
        <v>4510</v>
      </c>
      <c r="V38" s="9">
        <f t="shared" si="10"/>
        <v>4510</v>
      </c>
    </row>
    <row r="39" spans="1:22">
      <c r="A39" s="415">
        <v>27</v>
      </c>
      <c r="B39" s="156" t="s">
        <v>938</v>
      </c>
      <c r="C39" s="9">
        <v>3206</v>
      </c>
      <c r="D39" s="9">
        <v>3276</v>
      </c>
      <c r="E39" s="370">
        <f t="shared" si="0"/>
        <v>192.73999999999998</v>
      </c>
      <c r="F39" s="370">
        <f t="shared" si="1"/>
        <v>733.41390412928831</v>
      </c>
      <c r="G39" s="370">
        <f t="shared" si="2"/>
        <v>926.15390412928832</v>
      </c>
      <c r="H39" s="370">
        <v>0</v>
      </c>
      <c r="I39" s="370">
        <v>82.473904129288258</v>
      </c>
      <c r="J39" s="370">
        <f t="shared" si="3"/>
        <v>82.473904129288258</v>
      </c>
      <c r="K39" s="9">
        <v>192.73999999999998</v>
      </c>
      <c r="L39" s="9">
        <v>650.94000000000005</v>
      </c>
      <c r="M39" s="370">
        <f t="shared" si="4"/>
        <v>843.68000000000006</v>
      </c>
      <c r="N39" s="370">
        <v>134.65199999999999</v>
      </c>
      <c r="O39" s="370">
        <v>455.62299999999999</v>
      </c>
      <c r="P39" s="370">
        <f t="shared" si="5"/>
        <v>590.27499999999998</v>
      </c>
      <c r="Q39" s="370">
        <f t="shared" si="6"/>
        <v>58.087999999999994</v>
      </c>
      <c r="R39" s="370">
        <f t="shared" si="7"/>
        <v>277.79090412928832</v>
      </c>
      <c r="S39" s="370">
        <f t="shared" si="8"/>
        <v>335.87890412928834</v>
      </c>
      <c r="T39" s="18" t="s">
        <v>951</v>
      </c>
      <c r="U39" s="9">
        <f t="shared" si="9"/>
        <v>3276</v>
      </c>
      <c r="V39" s="9">
        <f t="shared" si="10"/>
        <v>3276</v>
      </c>
    </row>
    <row r="40" spans="1:22">
      <c r="A40" s="415">
        <v>28</v>
      </c>
      <c r="B40" s="156" t="s">
        <v>939</v>
      </c>
      <c r="C40" s="9">
        <v>2448</v>
      </c>
      <c r="D40" s="9">
        <v>4261</v>
      </c>
      <c r="E40" s="370">
        <f t="shared" si="0"/>
        <v>146.99</v>
      </c>
      <c r="F40" s="370">
        <f t="shared" si="1"/>
        <v>539.40662376298826</v>
      </c>
      <c r="G40" s="370">
        <f t="shared" si="2"/>
        <v>686.39662376298827</v>
      </c>
      <c r="H40" s="370">
        <v>0</v>
      </c>
      <c r="I40" s="370">
        <v>39.296623762988247</v>
      </c>
      <c r="J40" s="370">
        <f t="shared" si="3"/>
        <v>39.296623762988247</v>
      </c>
      <c r="K40" s="9">
        <v>146.99</v>
      </c>
      <c r="L40" s="9">
        <v>500.11</v>
      </c>
      <c r="M40" s="370">
        <f t="shared" si="4"/>
        <v>647.1</v>
      </c>
      <c r="N40" s="370">
        <v>102.816</v>
      </c>
      <c r="O40" s="370">
        <v>351.51900000000001</v>
      </c>
      <c r="P40" s="370">
        <f t="shared" si="5"/>
        <v>454.33500000000004</v>
      </c>
      <c r="Q40" s="370">
        <f t="shared" si="6"/>
        <v>44.174000000000007</v>
      </c>
      <c r="R40" s="370">
        <f t="shared" si="7"/>
        <v>187.88762376298826</v>
      </c>
      <c r="S40" s="370">
        <f t="shared" si="8"/>
        <v>232.06162376298826</v>
      </c>
      <c r="T40" s="18" t="s">
        <v>951</v>
      </c>
      <c r="U40" s="9">
        <f t="shared" si="9"/>
        <v>4261</v>
      </c>
      <c r="V40" s="9">
        <f t="shared" si="10"/>
        <v>4261</v>
      </c>
    </row>
    <row r="41" spans="1:22" ht="16.5" customHeight="1">
      <c r="A41" s="415">
        <v>29</v>
      </c>
      <c r="B41" s="156" t="s">
        <v>940</v>
      </c>
      <c r="C41" s="9">
        <v>2498</v>
      </c>
      <c r="D41" s="9">
        <v>3355</v>
      </c>
      <c r="E41" s="370">
        <f t="shared" si="0"/>
        <v>149.84</v>
      </c>
      <c r="F41" s="370">
        <f t="shared" si="1"/>
        <v>538.97130362868825</v>
      </c>
      <c r="G41" s="370">
        <f t="shared" si="2"/>
        <v>688.81130362868828</v>
      </c>
      <c r="H41" s="370">
        <v>0</v>
      </c>
      <c r="I41" s="370">
        <v>28.741303628688229</v>
      </c>
      <c r="J41" s="370">
        <f t="shared" si="3"/>
        <v>28.741303628688229</v>
      </c>
      <c r="K41" s="9">
        <v>149.84</v>
      </c>
      <c r="L41" s="9">
        <v>510.23</v>
      </c>
      <c r="M41" s="370">
        <f t="shared" si="4"/>
        <v>660.07</v>
      </c>
      <c r="N41" s="370">
        <v>104.916</v>
      </c>
      <c r="O41" s="370">
        <v>357.44799999999998</v>
      </c>
      <c r="P41" s="370">
        <f t="shared" si="5"/>
        <v>462.36399999999998</v>
      </c>
      <c r="Q41" s="370">
        <f t="shared" si="6"/>
        <v>44.924000000000007</v>
      </c>
      <c r="R41" s="370">
        <f t="shared" si="7"/>
        <v>181.52330362868827</v>
      </c>
      <c r="S41" s="370">
        <f t="shared" si="8"/>
        <v>226.44730362868827</v>
      </c>
      <c r="T41" s="18" t="s">
        <v>951</v>
      </c>
      <c r="U41" s="9">
        <f t="shared" si="9"/>
        <v>3355</v>
      </c>
      <c r="V41" s="9">
        <f t="shared" si="10"/>
        <v>3355</v>
      </c>
    </row>
    <row r="42" spans="1:22">
      <c r="A42" s="415">
        <v>30</v>
      </c>
      <c r="B42" s="156" t="s">
        <v>941</v>
      </c>
      <c r="C42" s="9">
        <v>3169</v>
      </c>
      <c r="D42" s="9">
        <v>3518</v>
      </c>
      <c r="E42" s="370">
        <f t="shared" si="0"/>
        <v>189.44</v>
      </c>
      <c r="F42" s="370">
        <f t="shared" si="1"/>
        <v>719.7588833699881</v>
      </c>
      <c r="G42" s="370">
        <f t="shared" si="2"/>
        <v>909.19888336998815</v>
      </c>
      <c r="H42" s="370">
        <v>0</v>
      </c>
      <c r="I42" s="370">
        <v>80.388883369988093</v>
      </c>
      <c r="J42" s="370">
        <f t="shared" si="3"/>
        <v>80.388883369988093</v>
      </c>
      <c r="K42" s="9">
        <v>189.44</v>
      </c>
      <c r="L42" s="9">
        <v>639.37</v>
      </c>
      <c r="M42" s="370">
        <f t="shared" si="4"/>
        <v>828.81</v>
      </c>
      <c r="N42" s="370">
        <v>133.09800000000001</v>
      </c>
      <c r="O42" s="370">
        <v>449.29500000000002</v>
      </c>
      <c r="P42" s="370">
        <f t="shared" si="5"/>
        <v>582.39300000000003</v>
      </c>
      <c r="Q42" s="370">
        <f t="shared" si="6"/>
        <v>56.341999999999985</v>
      </c>
      <c r="R42" s="370">
        <f t="shared" si="7"/>
        <v>270.46388336998808</v>
      </c>
      <c r="S42" s="370">
        <f t="shared" si="8"/>
        <v>326.80588336998807</v>
      </c>
      <c r="T42" s="18" t="s">
        <v>951</v>
      </c>
      <c r="U42" s="9">
        <f t="shared" si="9"/>
        <v>3518</v>
      </c>
      <c r="V42" s="9">
        <f t="shared" si="10"/>
        <v>3518</v>
      </c>
    </row>
    <row r="43" spans="1:22">
      <c r="A43" s="415">
        <v>31</v>
      </c>
      <c r="B43" s="156" t="s">
        <v>942</v>
      </c>
      <c r="C43" s="9">
        <v>3395</v>
      </c>
      <c r="D43" s="9">
        <v>4089</v>
      </c>
      <c r="E43" s="370">
        <f t="shared" si="0"/>
        <v>203.92999999999998</v>
      </c>
      <c r="F43" s="370">
        <f t="shared" si="1"/>
        <v>765.32045502378855</v>
      </c>
      <c r="G43" s="370">
        <f t="shared" si="2"/>
        <v>969.2504550237885</v>
      </c>
      <c r="H43" s="370">
        <v>0</v>
      </c>
      <c r="I43" s="370">
        <v>74.360455023788518</v>
      </c>
      <c r="J43" s="370">
        <f t="shared" si="3"/>
        <v>74.360455023788518</v>
      </c>
      <c r="K43" s="9">
        <v>203.92999999999998</v>
      </c>
      <c r="L43" s="9">
        <v>690.96</v>
      </c>
      <c r="M43" s="370">
        <f t="shared" si="4"/>
        <v>894.89</v>
      </c>
      <c r="N43" s="370">
        <v>142.59</v>
      </c>
      <c r="O43" s="370">
        <v>483.28</v>
      </c>
      <c r="P43" s="370">
        <f t="shared" si="5"/>
        <v>625.87</v>
      </c>
      <c r="Q43" s="370">
        <f t="shared" si="6"/>
        <v>61.339999999999975</v>
      </c>
      <c r="R43" s="370">
        <f t="shared" si="7"/>
        <v>282.04045502378858</v>
      </c>
      <c r="S43" s="370">
        <f t="shared" si="8"/>
        <v>343.38045502378856</v>
      </c>
      <c r="T43" s="18" t="s">
        <v>951</v>
      </c>
      <c r="U43" s="9">
        <f t="shared" si="9"/>
        <v>4089</v>
      </c>
      <c r="V43" s="9">
        <f t="shared" si="10"/>
        <v>4089</v>
      </c>
    </row>
    <row r="44" spans="1:22" ht="16.5" customHeight="1">
      <c r="A44" s="415">
        <v>32</v>
      </c>
      <c r="B44" s="156" t="s">
        <v>943</v>
      </c>
      <c r="C44" s="9">
        <v>2081</v>
      </c>
      <c r="D44" s="9">
        <v>2153</v>
      </c>
      <c r="E44" s="370">
        <f t="shared" si="0"/>
        <v>124.75999999999999</v>
      </c>
      <c r="F44" s="370">
        <f t="shared" si="1"/>
        <v>489.89258956768828</v>
      </c>
      <c r="G44" s="370">
        <f t="shared" si="2"/>
        <v>614.65258956768821</v>
      </c>
      <c r="H44" s="370">
        <v>0</v>
      </c>
      <c r="I44" s="370">
        <v>66.672589567688249</v>
      </c>
      <c r="J44" s="370">
        <f t="shared" si="3"/>
        <v>66.672589567688249</v>
      </c>
      <c r="K44" s="9">
        <v>124.75999999999999</v>
      </c>
      <c r="L44" s="9">
        <v>423.22</v>
      </c>
      <c r="M44" s="370">
        <f t="shared" si="4"/>
        <v>547.98</v>
      </c>
      <c r="N44" s="370">
        <v>87.402000000000001</v>
      </c>
      <c r="O44" s="370">
        <v>296.29599999999999</v>
      </c>
      <c r="P44" s="370">
        <f t="shared" si="5"/>
        <v>383.69799999999998</v>
      </c>
      <c r="Q44" s="370">
        <f t="shared" si="6"/>
        <v>37.35799999999999</v>
      </c>
      <c r="R44" s="370">
        <f t="shared" si="7"/>
        <v>193.59658956768828</v>
      </c>
      <c r="S44" s="370">
        <f t="shared" si="8"/>
        <v>230.95458956768829</v>
      </c>
      <c r="T44" s="18" t="s">
        <v>951</v>
      </c>
      <c r="U44" s="9">
        <f t="shared" si="9"/>
        <v>2153</v>
      </c>
      <c r="V44" s="9">
        <f t="shared" si="10"/>
        <v>2153</v>
      </c>
    </row>
    <row r="45" spans="1:22">
      <c r="A45" s="415">
        <v>33</v>
      </c>
      <c r="B45" s="156" t="s">
        <v>944</v>
      </c>
      <c r="C45" s="9">
        <v>2774</v>
      </c>
      <c r="D45" s="9">
        <v>2774</v>
      </c>
      <c r="E45" s="370">
        <f t="shared" si="0"/>
        <v>166.61</v>
      </c>
      <c r="F45" s="370">
        <f t="shared" si="1"/>
        <v>636.48982577578795</v>
      </c>
      <c r="G45" s="370">
        <f t="shared" si="2"/>
        <v>803.09982577578796</v>
      </c>
      <c r="H45" s="370">
        <v>0</v>
      </c>
      <c r="I45" s="370">
        <v>71.159825775787908</v>
      </c>
      <c r="J45" s="370">
        <f t="shared" si="3"/>
        <v>71.159825775787908</v>
      </c>
      <c r="K45" s="9">
        <v>166.61</v>
      </c>
      <c r="L45" s="9">
        <v>565.33000000000004</v>
      </c>
      <c r="M45" s="370">
        <f t="shared" si="4"/>
        <v>731.94</v>
      </c>
      <c r="N45" s="370">
        <v>116.508</v>
      </c>
      <c r="O45" s="370">
        <v>395.28300000000002</v>
      </c>
      <c r="P45" s="370">
        <f t="shared" si="5"/>
        <v>511.791</v>
      </c>
      <c r="Q45" s="370">
        <f t="shared" si="6"/>
        <v>50.102000000000018</v>
      </c>
      <c r="R45" s="370">
        <f t="shared" si="7"/>
        <v>241.20682577578793</v>
      </c>
      <c r="S45" s="370">
        <f t="shared" si="8"/>
        <v>291.30882577578797</v>
      </c>
      <c r="T45" s="18" t="s">
        <v>951</v>
      </c>
      <c r="U45" s="9">
        <f t="shared" si="9"/>
        <v>2774</v>
      </c>
      <c r="V45" s="9">
        <f t="shared" si="10"/>
        <v>2774</v>
      </c>
    </row>
    <row r="46" spans="1:22">
      <c r="A46" s="415">
        <v>34</v>
      </c>
      <c r="B46" s="156" t="s">
        <v>945</v>
      </c>
      <c r="C46" s="9">
        <v>1898</v>
      </c>
      <c r="D46" s="9">
        <v>1988</v>
      </c>
      <c r="E46" s="370">
        <f t="shared" si="0"/>
        <v>113.75999999999999</v>
      </c>
      <c r="F46" s="370">
        <f t="shared" si="1"/>
        <v>438.39937706498836</v>
      </c>
      <c r="G46" s="370">
        <f t="shared" si="2"/>
        <v>552.15937706498835</v>
      </c>
      <c r="H46" s="370">
        <v>0</v>
      </c>
      <c r="I46" s="370">
        <v>53.729377064988284</v>
      </c>
      <c r="J46" s="370">
        <f t="shared" si="3"/>
        <v>53.729377064988284</v>
      </c>
      <c r="K46" s="9">
        <v>113.75999999999999</v>
      </c>
      <c r="L46" s="9">
        <v>384.67000000000007</v>
      </c>
      <c r="M46" s="370">
        <f t="shared" si="4"/>
        <v>498.43000000000006</v>
      </c>
      <c r="N46" s="370">
        <v>79.715999999999994</v>
      </c>
      <c r="O46" s="370">
        <v>269.43700000000001</v>
      </c>
      <c r="P46" s="370">
        <f t="shared" si="5"/>
        <v>349.15300000000002</v>
      </c>
      <c r="Q46" s="370">
        <f t="shared" si="6"/>
        <v>34.043999999999997</v>
      </c>
      <c r="R46" s="370">
        <f t="shared" si="7"/>
        <v>168.96237706498835</v>
      </c>
      <c r="S46" s="370">
        <f t="shared" si="8"/>
        <v>203.00637706498833</v>
      </c>
      <c r="T46" s="18" t="s">
        <v>951</v>
      </c>
      <c r="U46" s="9">
        <f t="shared" si="9"/>
        <v>1988</v>
      </c>
      <c r="V46" s="9">
        <f t="shared" si="10"/>
        <v>1988</v>
      </c>
    </row>
    <row r="47" spans="1:22">
      <c r="A47" s="27" t="s">
        <v>17</v>
      </c>
      <c r="B47" s="9"/>
      <c r="C47" s="9">
        <f>SUM(C13:C46)</f>
        <v>73813</v>
      </c>
      <c r="D47" s="9">
        <f>SUM(D13:D46)</f>
        <v>80197</v>
      </c>
      <c r="E47" s="9">
        <f t="shared" ref="E47:G47" si="11">SUM(E13:E46)</f>
        <v>4429.47</v>
      </c>
      <c r="F47" s="370">
        <f t="shared" si="11"/>
        <v>17474.60535258631</v>
      </c>
      <c r="G47" s="370">
        <f t="shared" si="11"/>
        <v>21904.075352586307</v>
      </c>
      <c r="H47" s="9">
        <f t="shared" ref="H47" si="12">SUM(H13:H46)</f>
        <v>1.06</v>
      </c>
      <c r="I47" s="370">
        <f t="shared" ref="I47" si="13">SUM(I13:I46)</f>
        <v>2446.8153525863072</v>
      </c>
      <c r="J47" s="370">
        <f t="shared" ref="J47" si="14">SUM(J13:J46)</f>
        <v>2447.8753525863067</v>
      </c>
      <c r="K47" s="370">
        <f t="shared" ref="K47" si="15">SUM(K13:K46)</f>
        <v>4428.41</v>
      </c>
      <c r="L47" s="370">
        <f t="shared" ref="L47" si="16">SUM(L13:L46)</f>
        <v>15027.790000000003</v>
      </c>
      <c r="M47" s="370">
        <f t="shared" ref="M47" si="17">SUM(M13:M46)</f>
        <v>19456.199999999997</v>
      </c>
      <c r="N47" s="370">
        <f t="shared" ref="N47" si="18">SUM(N13:N46)</f>
        <v>3100.1459999999993</v>
      </c>
      <c r="O47" s="370">
        <f t="shared" ref="O47" si="19">SUM(O13:O46)</f>
        <v>10520.664000000001</v>
      </c>
      <c r="P47" s="370">
        <f t="shared" ref="P47" si="20">SUM(P13:P46)</f>
        <v>13620.810000000001</v>
      </c>
      <c r="Q47" s="370">
        <f t="shared" ref="Q47" si="21">SUM(Q13:Q46)</f>
        <v>1329.3240000000001</v>
      </c>
      <c r="R47" s="370">
        <f t="shared" ref="R47" si="22">SUM(R13:R46)</f>
        <v>6953.9413525863074</v>
      </c>
      <c r="S47" s="370">
        <f t="shared" ref="S47" si="23">SUM(S13:S46)</f>
        <v>8283.2653525863079</v>
      </c>
      <c r="T47" s="9"/>
      <c r="U47" s="9">
        <f>SUM(U13:U46)</f>
        <v>80197</v>
      </c>
      <c r="V47" s="9">
        <f>SUM(V13:V46)</f>
        <v>80197</v>
      </c>
    </row>
    <row r="49" spans="2:21">
      <c r="N49" s="424"/>
    </row>
    <row r="51" spans="2:21">
      <c r="Q51" s="424"/>
      <c r="R51" s="424"/>
      <c r="S51" s="424"/>
    </row>
    <row r="52" spans="2:21" ht="12.75" customHeight="1">
      <c r="B52" s="417"/>
      <c r="C52" s="13"/>
      <c r="D52" s="13"/>
      <c r="E52" s="13"/>
      <c r="F52" s="13"/>
      <c r="G52" s="13"/>
      <c r="H52" s="417"/>
      <c r="I52" s="417"/>
      <c r="J52" s="417"/>
      <c r="K52" s="417"/>
      <c r="L52" s="417"/>
      <c r="M52" s="417"/>
      <c r="R52" s="804" t="s">
        <v>12</v>
      </c>
      <c r="S52" s="804"/>
      <c r="T52" s="804"/>
      <c r="U52" s="804"/>
    </row>
    <row r="53" spans="2:21" ht="12.75" customHeight="1">
      <c r="B53" s="803" t="s">
        <v>906</v>
      </c>
      <c r="C53" s="803"/>
      <c r="D53" s="803"/>
      <c r="E53" s="803"/>
      <c r="F53" s="375"/>
      <c r="G53" s="375"/>
      <c r="H53" s="417"/>
      <c r="I53" s="417"/>
      <c r="J53" s="423"/>
      <c r="K53" s="417"/>
      <c r="L53" s="417"/>
      <c r="M53" s="417"/>
      <c r="R53" s="804" t="s">
        <v>13</v>
      </c>
      <c r="S53" s="804"/>
      <c r="T53" s="804"/>
      <c r="U53" s="804"/>
    </row>
    <row r="54" spans="2:21" ht="12.75" customHeight="1">
      <c r="B54" s="804" t="s">
        <v>907</v>
      </c>
      <c r="C54" s="804"/>
      <c r="D54" s="804"/>
      <c r="E54" s="804"/>
      <c r="F54" s="375"/>
      <c r="G54" s="375"/>
      <c r="H54" s="417"/>
      <c r="I54" s="417"/>
      <c r="J54" s="423"/>
      <c r="K54" s="417"/>
      <c r="L54" s="417"/>
      <c r="M54" s="417"/>
      <c r="R54" s="804" t="s">
        <v>18</v>
      </c>
      <c r="S54" s="804"/>
      <c r="T54" s="804"/>
      <c r="U54" s="804"/>
    </row>
    <row r="55" spans="2:21">
      <c r="B55" s="804" t="s">
        <v>908</v>
      </c>
      <c r="C55" s="804"/>
      <c r="D55" s="804"/>
      <c r="E55" s="804"/>
      <c r="H55" s="417"/>
      <c r="I55" s="417"/>
      <c r="J55" s="417"/>
      <c r="K55" s="417"/>
      <c r="L55" s="417"/>
      <c r="M55" s="417"/>
      <c r="R55" s="417"/>
      <c r="S55" s="14"/>
      <c r="T55" s="33" t="s">
        <v>84</v>
      </c>
      <c r="U55" s="33"/>
    </row>
    <row r="56" spans="2:21">
      <c r="B56" s="416"/>
      <c r="C56" s="416"/>
      <c r="D56" s="416"/>
      <c r="E56" s="416"/>
      <c r="F56" s="416"/>
      <c r="G56" s="416"/>
      <c r="H56" s="417"/>
      <c r="I56" s="417"/>
      <c r="J56" s="417"/>
      <c r="K56" s="417"/>
      <c r="L56" s="417"/>
      <c r="M56" s="417"/>
      <c r="N56" s="417"/>
      <c r="O56" s="417"/>
      <c r="P56" s="417"/>
      <c r="Q56" s="417"/>
    </row>
    <row r="57" spans="2:21" ht="15.75">
      <c r="B57" s="13" t="s">
        <v>11</v>
      </c>
      <c r="C57" s="417"/>
      <c r="D57" s="417"/>
      <c r="E57" s="417"/>
      <c r="F57" s="417"/>
      <c r="G57" s="417"/>
      <c r="H57" s="417"/>
      <c r="I57" s="417"/>
      <c r="J57" s="417"/>
      <c r="K57" s="417"/>
      <c r="L57" s="417"/>
      <c r="M57" s="417"/>
      <c r="N57" s="417"/>
      <c r="O57" s="417"/>
      <c r="P57" s="417"/>
      <c r="Q57" s="417"/>
    </row>
  </sheetData>
  <mergeCells count="25">
    <mergeCell ref="P8:V8"/>
    <mergeCell ref="Q1:V1"/>
    <mergeCell ref="K10:M10"/>
    <mergeCell ref="N10:P10"/>
    <mergeCell ref="Q10:S10"/>
    <mergeCell ref="A3:Q3"/>
    <mergeCell ref="A4:P4"/>
    <mergeCell ref="A5:Q5"/>
    <mergeCell ref="P9:V9"/>
    <mergeCell ref="V10:V11"/>
    <mergeCell ref="A7:V7"/>
    <mergeCell ref="R54:U54"/>
    <mergeCell ref="B55:E55"/>
    <mergeCell ref="U10:U11"/>
    <mergeCell ref="T10:T11"/>
    <mergeCell ref="A10:A11"/>
    <mergeCell ref="B10:B11"/>
    <mergeCell ref="C10:C11"/>
    <mergeCell ref="D10:D11"/>
    <mergeCell ref="E10:G10"/>
    <mergeCell ref="H10:J10"/>
    <mergeCell ref="R52:U52"/>
    <mergeCell ref="B53:E53"/>
    <mergeCell ref="R53:U53"/>
    <mergeCell ref="B54:E54"/>
  </mergeCells>
  <printOptions horizontalCentered="1"/>
  <pageMargins left="0.70866141732283472" right="0.70866141732283472" top="0.23622047244094491" bottom="0" header="0.31496062992125984" footer="0.31496062992125984"/>
  <pageSetup paperSize="9" scale="60" orientation="landscape" r:id="rId1"/>
</worksheet>
</file>

<file path=xl/worksheets/sheet28.xml><?xml version="1.0" encoding="utf-8"?>
<worksheet xmlns="http://schemas.openxmlformats.org/spreadsheetml/2006/main" xmlns:r="http://schemas.openxmlformats.org/officeDocument/2006/relationships">
  <sheetPr codeName="Sheet28">
    <pageSetUpPr fitToPage="1"/>
  </sheetPr>
  <dimension ref="A1:V54"/>
  <sheetViews>
    <sheetView view="pageBreakPreview" topLeftCell="A25" zoomScaleSheetLayoutView="100" workbookViewId="0">
      <selection activeCell="C33" sqref="C33:I33"/>
    </sheetView>
  </sheetViews>
  <sheetFormatPr defaultRowHeight="12.75"/>
  <cols>
    <col min="1" max="1" width="7.28515625" style="15" customWidth="1"/>
    <col min="2" max="2" width="18.7109375" style="15" customWidth="1"/>
    <col min="3" max="3" width="10.42578125" style="15" customWidth="1"/>
    <col min="4" max="6" width="13" style="15" customWidth="1"/>
    <col min="7" max="7" width="22.7109375" style="15" customWidth="1"/>
    <col min="8" max="8" width="13.28515625" style="15" customWidth="1"/>
    <col min="9" max="9" width="21.7109375" style="15" customWidth="1"/>
    <col min="10" max="16384" width="9.140625" style="15"/>
  </cols>
  <sheetData>
    <row r="1" spans="1:22" customFormat="1" ht="15">
      <c r="I1" s="38" t="s">
        <v>66</v>
      </c>
      <c r="J1" s="40"/>
    </row>
    <row r="2" spans="1:22" customFormat="1" ht="15">
      <c r="D2" s="42" t="s">
        <v>0</v>
      </c>
      <c r="E2" s="42"/>
      <c r="F2" s="42"/>
      <c r="G2" s="42"/>
      <c r="H2" s="42"/>
      <c r="I2" s="42"/>
      <c r="J2" s="42"/>
    </row>
    <row r="3" spans="1:22" customFormat="1" ht="20.25" customHeight="1">
      <c r="B3" s="158"/>
      <c r="C3" s="968" t="s">
        <v>745</v>
      </c>
      <c r="D3" s="968"/>
      <c r="E3" s="968"/>
      <c r="F3" s="968"/>
      <c r="G3" s="127"/>
      <c r="H3" s="127"/>
      <c r="I3" s="127"/>
      <c r="J3" s="41"/>
    </row>
    <row r="4" spans="1:22" customFormat="1" ht="10.5" customHeight="1"/>
    <row r="5" spans="1:22" ht="30.75" customHeight="1">
      <c r="A5" s="969" t="s">
        <v>818</v>
      </c>
      <c r="B5" s="969"/>
      <c r="C5" s="969"/>
      <c r="D5" s="969"/>
      <c r="E5" s="969"/>
      <c r="F5" s="969"/>
      <c r="G5" s="969"/>
      <c r="H5" s="969"/>
      <c r="I5" s="969"/>
    </row>
    <row r="7" spans="1:22" ht="0.75" customHeight="1"/>
    <row r="8" spans="1:22">
      <c r="A8" s="14" t="s">
        <v>953</v>
      </c>
      <c r="I8" s="30" t="s">
        <v>23</v>
      </c>
    </row>
    <row r="9" spans="1:22">
      <c r="D9" s="914" t="s">
        <v>831</v>
      </c>
      <c r="E9" s="914"/>
      <c r="F9" s="914"/>
      <c r="G9" s="914"/>
      <c r="H9" s="914"/>
      <c r="I9" s="914"/>
      <c r="U9" s="18"/>
      <c r="V9" s="20"/>
    </row>
    <row r="10" spans="1:22" ht="44.25" customHeight="1">
      <c r="A10" s="5" t="s">
        <v>2</v>
      </c>
      <c r="B10" s="5" t="s">
        <v>3</v>
      </c>
      <c r="C10" s="342" t="s">
        <v>856</v>
      </c>
      <c r="D10" s="342" t="s">
        <v>858</v>
      </c>
      <c r="E10" s="2" t="s">
        <v>115</v>
      </c>
      <c r="F10" s="5" t="s">
        <v>224</v>
      </c>
      <c r="G10" s="2" t="s">
        <v>712</v>
      </c>
      <c r="H10" s="2" t="s">
        <v>156</v>
      </c>
      <c r="I10" s="31" t="s">
        <v>859</v>
      </c>
    </row>
    <row r="11" spans="1:22" s="114" customFormat="1" ht="15.75" customHeight="1">
      <c r="A11" s="66">
        <v>1</v>
      </c>
      <c r="B11" s="65">
        <v>2</v>
      </c>
      <c r="C11" s="66">
        <v>3</v>
      </c>
      <c r="D11" s="65">
        <v>4</v>
      </c>
      <c r="E11" s="66">
        <v>5</v>
      </c>
      <c r="F11" s="65">
        <v>6</v>
      </c>
      <c r="G11" s="66">
        <v>7</v>
      </c>
      <c r="H11" s="65">
        <v>8</v>
      </c>
      <c r="I11" s="66">
        <v>9</v>
      </c>
    </row>
    <row r="12" spans="1:22" ht="15" customHeight="1">
      <c r="A12" s="17">
        <v>1</v>
      </c>
      <c r="B12" s="18" t="s">
        <v>912</v>
      </c>
      <c r="C12" s="567">
        <v>35.376384126769587</v>
      </c>
      <c r="D12" s="567">
        <v>0.15553852676958299</v>
      </c>
      <c r="E12" s="567">
        <v>35.220845600000004</v>
      </c>
      <c r="F12" s="567">
        <v>0</v>
      </c>
      <c r="G12" s="539">
        <v>150</v>
      </c>
      <c r="H12" s="567">
        <v>27.560000000000002</v>
      </c>
      <c r="I12" s="567">
        <f>D12+E12-H12</f>
        <v>7.8163841267695844</v>
      </c>
    </row>
    <row r="13" spans="1:22">
      <c r="A13" s="17">
        <v>2</v>
      </c>
      <c r="B13" s="18" t="s">
        <v>913</v>
      </c>
      <c r="C13" s="567">
        <v>55.128006223908237</v>
      </c>
      <c r="D13" s="567">
        <v>4.577172223908228</v>
      </c>
      <c r="E13" s="567">
        <v>50.550834000000009</v>
      </c>
      <c r="F13" s="567">
        <v>0</v>
      </c>
      <c r="G13" s="539">
        <v>150</v>
      </c>
      <c r="H13" s="567">
        <v>31.576538250000002</v>
      </c>
      <c r="I13" s="567">
        <f t="shared" ref="I13:I45" si="0">D13+E13-H13</f>
        <v>23.551467973908235</v>
      </c>
    </row>
    <row r="14" spans="1:22" ht="12" customHeight="1">
      <c r="A14" s="415">
        <v>3</v>
      </c>
      <c r="B14" s="18" t="s">
        <v>914</v>
      </c>
      <c r="C14" s="567">
        <v>59.147046581054376</v>
      </c>
      <c r="D14" s="567">
        <v>3.717046581054376</v>
      </c>
      <c r="E14" s="567">
        <v>55.43</v>
      </c>
      <c r="F14" s="567">
        <v>0</v>
      </c>
      <c r="G14" s="539">
        <v>150</v>
      </c>
      <c r="H14" s="567">
        <v>33.579389285714285</v>
      </c>
      <c r="I14" s="567">
        <f t="shared" si="0"/>
        <v>25.567657295340091</v>
      </c>
    </row>
    <row r="15" spans="1:22">
      <c r="A15" s="415">
        <v>4</v>
      </c>
      <c r="B15" s="18" t="s">
        <v>915</v>
      </c>
      <c r="C15" s="567">
        <v>44.69758474838369</v>
      </c>
      <c r="D15" s="567">
        <v>1.1175847483836812</v>
      </c>
      <c r="E15" s="567">
        <v>43.580000000000005</v>
      </c>
      <c r="F15" s="567">
        <v>0</v>
      </c>
      <c r="G15" s="539">
        <v>150</v>
      </c>
      <c r="H15" s="567">
        <v>34.980071760000001</v>
      </c>
      <c r="I15" s="567">
        <f t="shared" si="0"/>
        <v>9.7175129883836888</v>
      </c>
    </row>
    <row r="16" spans="1:22" s="417" customFormat="1">
      <c r="A16" s="415">
        <v>5</v>
      </c>
      <c r="B16" s="18" t="s">
        <v>916</v>
      </c>
      <c r="C16" s="567">
        <v>47.805898753545378</v>
      </c>
      <c r="D16" s="567">
        <v>0.91589875354538108</v>
      </c>
      <c r="E16" s="567">
        <v>46.89</v>
      </c>
      <c r="F16" s="567">
        <v>0</v>
      </c>
      <c r="G16" s="539">
        <v>150</v>
      </c>
      <c r="H16" s="567">
        <v>15.358750000000001</v>
      </c>
      <c r="I16" s="567">
        <f t="shared" si="0"/>
        <v>32.447148753545378</v>
      </c>
    </row>
    <row r="17" spans="1:9" s="417" customFormat="1">
      <c r="A17" s="415">
        <v>6</v>
      </c>
      <c r="B17" s="18" t="s">
        <v>917</v>
      </c>
      <c r="C17" s="567">
        <v>22.854741340430483</v>
      </c>
      <c r="D17" s="567">
        <v>1.7420255404304825</v>
      </c>
      <c r="E17" s="567">
        <v>21.1127158</v>
      </c>
      <c r="F17" s="567">
        <v>0</v>
      </c>
      <c r="G17" s="539">
        <v>150</v>
      </c>
      <c r="H17" s="567">
        <v>13.379999999999999</v>
      </c>
      <c r="I17" s="567">
        <f t="shared" si="0"/>
        <v>9.4747413404304837</v>
      </c>
    </row>
    <row r="18" spans="1:9" s="417" customFormat="1">
      <c r="A18" s="415">
        <v>7</v>
      </c>
      <c r="B18" s="18" t="s">
        <v>918</v>
      </c>
      <c r="C18" s="567">
        <v>24.231475966651249</v>
      </c>
      <c r="D18" s="567">
        <v>1.0314759666512501</v>
      </c>
      <c r="E18" s="567">
        <v>23.2</v>
      </c>
      <c r="F18" s="567">
        <v>0</v>
      </c>
      <c r="G18" s="539">
        <v>150</v>
      </c>
      <c r="H18" s="567">
        <v>17.86</v>
      </c>
      <c r="I18" s="567">
        <f t="shared" si="0"/>
        <v>6.3714759666512499</v>
      </c>
    </row>
    <row r="19" spans="1:9" s="417" customFormat="1">
      <c r="A19" s="415">
        <v>8</v>
      </c>
      <c r="B19" s="18" t="s">
        <v>919</v>
      </c>
      <c r="C19" s="567">
        <v>39.270041536574496</v>
      </c>
      <c r="D19" s="567">
        <v>3.8800415365744989</v>
      </c>
      <c r="E19" s="567">
        <v>35.39</v>
      </c>
      <c r="F19" s="567">
        <v>0</v>
      </c>
      <c r="G19" s="539">
        <v>150</v>
      </c>
      <c r="H19" s="567">
        <v>31.700000000000003</v>
      </c>
      <c r="I19" s="567">
        <f t="shared" si="0"/>
        <v>7.5700415365744931</v>
      </c>
    </row>
    <row r="20" spans="1:9" s="417" customFormat="1">
      <c r="A20" s="415">
        <v>9</v>
      </c>
      <c r="B20" s="18" t="s">
        <v>920</v>
      </c>
      <c r="C20" s="567">
        <v>30.339541767640693</v>
      </c>
      <c r="D20" s="567">
        <v>-4.5823235930697592E-4</v>
      </c>
      <c r="E20" s="567">
        <v>30.34</v>
      </c>
      <c r="F20" s="567">
        <v>0</v>
      </c>
      <c r="G20" s="539">
        <v>150</v>
      </c>
      <c r="H20" s="567">
        <v>29.52</v>
      </c>
      <c r="I20" s="567">
        <f t="shared" si="0"/>
        <v>0.81954176764069331</v>
      </c>
    </row>
    <row r="21" spans="1:9" s="417" customFormat="1">
      <c r="A21" s="415">
        <v>10</v>
      </c>
      <c r="B21" s="18" t="s">
        <v>921</v>
      </c>
      <c r="C21" s="567">
        <v>43.532715856871874</v>
      </c>
      <c r="D21" s="567">
        <v>0.8327158568718751</v>
      </c>
      <c r="E21" s="567">
        <v>42.7</v>
      </c>
      <c r="F21" s="567">
        <v>0</v>
      </c>
      <c r="G21" s="539">
        <v>150</v>
      </c>
      <c r="H21" s="567">
        <v>1.75</v>
      </c>
      <c r="I21" s="567">
        <f t="shared" si="0"/>
        <v>41.782715856871874</v>
      </c>
    </row>
    <row r="22" spans="1:9" s="417" customFormat="1">
      <c r="A22" s="415">
        <v>11</v>
      </c>
      <c r="B22" s="18" t="s">
        <v>922</v>
      </c>
      <c r="C22" s="567">
        <v>28.754114284471875</v>
      </c>
      <c r="D22" s="567">
        <v>0.86411428447187433</v>
      </c>
      <c r="E22" s="567">
        <v>27.89</v>
      </c>
      <c r="F22" s="567">
        <v>0</v>
      </c>
      <c r="G22" s="539">
        <v>150</v>
      </c>
      <c r="H22" s="567">
        <v>0.65999999999999992</v>
      </c>
      <c r="I22" s="567">
        <f t="shared" si="0"/>
        <v>28.094114284471875</v>
      </c>
    </row>
    <row r="23" spans="1:9" s="417" customFormat="1">
      <c r="A23" s="415">
        <v>12</v>
      </c>
      <c r="B23" s="18" t="s">
        <v>923</v>
      </c>
      <c r="C23" s="567">
        <v>73.574331302059164</v>
      </c>
      <c r="D23" s="567">
        <v>3.3287183020591797</v>
      </c>
      <c r="E23" s="567">
        <v>70.245612999999992</v>
      </c>
      <c r="F23" s="567">
        <v>0</v>
      </c>
      <c r="G23" s="539">
        <v>150</v>
      </c>
      <c r="H23" s="567">
        <v>64.77</v>
      </c>
      <c r="I23" s="567">
        <f t="shared" si="0"/>
        <v>8.8043313020591683</v>
      </c>
    </row>
    <row r="24" spans="1:9" s="417" customFormat="1">
      <c r="A24" s="415">
        <v>13</v>
      </c>
      <c r="B24" s="18" t="s">
        <v>924</v>
      </c>
      <c r="C24" s="567">
        <v>38.532267543227057</v>
      </c>
      <c r="D24" s="567">
        <v>2.6222675432270606</v>
      </c>
      <c r="E24" s="567">
        <v>35.909999999999997</v>
      </c>
      <c r="F24" s="567">
        <v>0</v>
      </c>
      <c r="G24" s="539">
        <v>150</v>
      </c>
      <c r="H24" s="567">
        <v>2.62</v>
      </c>
      <c r="I24" s="567">
        <f t="shared" si="0"/>
        <v>35.91226754322706</v>
      </c>
    </row>
    <row r="25" spans="1:9" s="417" customFormat="1">
      <c r="A25" s="415">
        <v>14</v>
      </c>
      <c r="B25" s="18" t="s">
        <v>925</v>
      </c>
      <c r="C25" s="567">
        <v>28.86113006758162</v>
      </c>
      <c r="D25" s="567">
        <v>2.8841237675816203</v>
      </c>
      <c r="E25" s="567">
        <v>25.977006299999999</v>
      </c>
      <c r="F25" s="567">
        <v>0</v>
      </c>
      <c r="G25" s="539">
        <v>150</v>
      </c>
      <c r="H25" s="567">
        <v>15.67</v>
      </c>
      <c r="I25" s="567">
        <f t="shared" si="0"/>
        <v>13.19113006758162</v>
      </c>
    </row>
    <row r="26" spans="1:9" s="417" customFormat="1">
      <c r="A26" s="415">
        <v>15</v>
      </c>
      <c r="B26" s="18" t="s">
        <v>926</v>
      </c>
      <c r="C26" s="567">
        <v>13.359950731556875</v>
      </c>
      <c r="D26" s="567">
        <v>3.4199507315568742</v>
      </c>
      <c r="E26" s="567">
        <v>9.9400000000000013</v>
      </c>
      <c r="F26" s="567">
        <v>0</v>
      </c>
      <c r="G26" s="539">
        <v>150</v>
      </c>
      <c r="H26" s="567">
        <v>3.79</v>
      </c>
      <c r="I26" s="567">
        <f t="shared" si="0"/>
        <v>9.5699507315568759</v>
      </c>
    </row>
    <row r="27" spans="1:9" s="417" customFormat="1">
      <c r="A27" s="415">
        <v>16</v>
      </c>
      <c r="B27" s="18" t="s">
        <v>927</v>
      </c>
      <c r="C27" s="567">
        <v>40.13423297795687</v>
      </c>
      <c r="D27" s="567">
        <v>1.9642329779568719</v>
      </c>
      <c r="E27" s="567">
        <v>38.169999999999995</v>
      </c>
      <c r="F27" s="567">
        <v>0</v>
      </c>
      <c r="G27" s="539">
        <v>150</v>
      </c>
      <c r="H27" s="567">
        <v>24.377235249999998</v>
      </c>
      <c r="I27" s="567">
        <f t="shared" si="0"/>
        <v>15.756997727956872</v>
      </c>
    </row>
    <row r="28" spans="1:9" s="417" customFormat="1">
      <c r="A28" s="415">
        <v>17</v>
      </c>
      <c r="B28" s="18" t="s">
        <v>928</v>
      </c>
      <c r="C28" s="567">
        <v>25.979720306835816</v>
      </c>
      <c r="D28" s="567">
        <v>0.34972030683581501</v>
      </c>
      <c r="E28" s="567">
        <v>25.630000000000003</v>
      </c>
      <c r="F28" s="567">
        <v>0</v>
      </c>
      <c r="G28" s="539">
        <v>150</v>
      </c>
      <c r="H28" s="567">
        <v>8.9619999999999997</v>
      </c>
      <c r="I28" s="567">
        <f t="shared" si="0"/>
        <v>17.017720306835816</v>
      </c>
    </row>
    <row r="29" spans="1:9" s="417" customFormat="1">
      <c r="A29" s="415">
        <v>18</v>
      </c>
      <c r="B29" s="18" t="s">
        <v>929</v>
      </c>
      <c r="C29" s="567">
        <v>45.305604626087188</v>
      </c>
      <c r="D29" s="567">
        <v>1.7256046260871862</v>
      </c>
      <c r="E29" s="567">
        <v>43.58</v>
      </c>
      <c r="F29" s="567">
        <v>0</v>
      </c>
      <c r="G29" s="539">
        <v>150</v>
      </c>
      <c r="H29" s="567">
        <v>25.67</v>
      </c>
      <c r="I29" s="567">
        <f t="shared" si="0"/>
        <v>19.635604626087186</v>
      </c>
    </row>
    <row r="30" spans="1:9" s="417" customFormat="1">
      <c r="A30" s="415">
        <v>19</v>
      </c>
      <c r="B30" s="18" t="s">
        <v>930</v>
      </c>
      <c r="C30" s="567">
        <v>25.654827603476441</v>
      </c>
      <c r="D30" s="567">
        <v>1.5948276034764373</v>
      </c>
      <c r="E30" s="567">
        <v>24.060000000000002</v>
      </c>
      <c r="F30" s="567">
        <v>0</v>
      </c>
      <c r="G30" s="539">
        <v>150</v>
      </c>
      <c r="H30" s="567">
        <v>13.629999999999999</v>
      </c>
      <c r="I30" s="567">
        <f t="shared" si="0"/>
        <v>12.024827603476442</v>
      </c>
    </row>
    <row r="31" spans="1:9" s="417" customFormat="1">
      <c r="A31" s="415">
        <v>20</v>
      </c>
      <c r="B31" s="18" t="s">
        <v>931</v>
      </c>
      <c r="C31" s="567">
        <v>64.395047123646378</v>
      </c>
      <c r="D31" s="567">
        <v>5.1450471236463713</v>
      </c>
      <c r="E31" s="567">
        <v>59.250000000000007</v>
      </c>
      <c r="F31" s="567">
        <v>0</v>
      </c>
      <c r="G31" s="539">
        <v>150</v>
      </c>
      <c r="H31" s="567">
        <v>5.4290000000000003</v>
      </c>
      <c r="I31" s="567">
        <f t="shared" si="0"/>
        <v>58.966047123646376</v>
      </c>
    </row>
    <row r="32" spans="1:9" s="417" customFormat="1">
      <c r="A32" s="415">
        <v>21</v>
      </c>
      <c r="B32" s="18" t="s">
        <v>932</v>
      </c>
      <c r="C32" s="567">
        <v>20.039278992226876</v>
      </c>
      <c r="D32" s="567">
        <v>1.0392789922268744</v>
      </c>
      <c r="E32" s="567">
        <v>19.000000000000004</v>
      </c>
      <c r="F32" s="567">
        <v>0</v>
      </c>
      <c r="G32" s="539">
        <v>150</v>
      </c>
      <c r="H32" s="567">
        <v>13</v>
      </c>
      <c r="I32" s="567">
        <f t="shared" si="0"/>
        <v>7.0392789922268761</v>
      </c>
    </row>
    <row r="33" spans="1:9" s="417" customFormat="1">
      <c r="A33" s="415">
        <v>22</v>
      </c>
      <c r="B33" s="18" t="s">
        <v>933</v>
      </c>
      <c r="C33" s="567">
        <v>31.497916425358504</v>
      </c>
      <c r="D33" s="567">
        <v>2.9079164253585006</v>
      </c>
      <c r="E33" s="567">
        <v>28.590000000000003</v>
      </c>
      <c r="F33" s="567">
        <v>0</v>
      </c>
      <c r="G33" s="539">
        <v>150</v>
      </c>
      <c r="H33" s="567">
        <v>23.408000000000001</v>
      </c>
      <c r="I33" s="567">
        <f t="shared" si="0"/>
        <v>8.0899164253585027</v>
      </c>
    </row>
    <row r="34" spans="1:9" ht="15.75" customHeight="1">
      <c r="A34" s="415">
        <v>23</v>
      </c>
      <c r="B34" s="18" t="s">
        <v>934</v>
      </c>
      <c r="C34" s="567">
        <v>62.597960416974445</v>
      </c>
      <c r="D34" s="567">
        <v>2.287960416974439</v>
      </c>
      <c r="E34" s="567">
        <v>60.31</v>
      </c>
      <c r="F34" s="567">
        <v>0</v>
      </c>
      <c r="G34" s="539">
        <v>150</v>
      </c>
      <c r="H34" s="567">
        <v>18.939999999999998</v>
      </c>
      <c r="I34" s="567">
        <f t="shared" si="0"/>
        <v>43.657960416974447</v>
      </c>
    </row>
    <row r="35" spans="1:9" ht="12.75" customHeight="1">
      <c r="A35" s="415">
        <v>24</v>
      </c>
      <c r="B35" s="18" t="s">
        <v>935</v>
      </c>
      <c r="C35" s="567">
        <v>49.880291182040679</v>
      </c>
      <c r="D35" s="567">
        <v>8.0502911820406844</v>
      </c>
      <c r="E35" s="567">
        <v>41.83</v>
      </c>
      <c r="F35" s="567">
        <v>0</v>
      </c>
      <c r="G35" s="539">
        <v>150</v>
      </c>
      <c r="H35" s="567">
        <v>41.83</v>
      </c>
      <c r="I35" s="567">
        <f t="shared" si="0"/>
        <v>8.0502911820406808</v>
      </c>
    </row>
    <row r="36" spans="1:9" ht="12.75" customHeight="1">
      <c r="A36" s="415">
        <v>25</v>
      </c>
      <c r="B36" s="18" t="s">
        <v>936</v>
      </c>
      <c r="C36" s="567">
        <v>82.781358547463753</v>
      </c>
      <c r="D36" s="567">
        <v>1.2113585474637603</v>
      </c>
      <c r="E36" s="567">
        <v>81.569999999999993</v>
      </c>
      <c r="F36" s="567">
        <v>0</v>
      </c>
      <c r="G36" s="539">
        <v>150</v>
      </c>
      <c r="H36" s="567">
        <v>52.827933000000002</v>
      </c>
      <c r="I36" s="567">
        <f t="shared" si="0"/>
        <v>29.953425547463752</v>
      </c>
    </row>
    <row r="37" spans="1:9">
      <c r="A37" s="415">
        <v>26</v>
      </c>
      <c r="B37" s="18" t="s">
        <v>937</v>
      </c>
      <c r="C37" s="567">
        <v>116.19013839930062</v>
      </c>
      <c r="D37" s="567">
        <v>5.5301383993006112</v>
      </c>
      <c r="E37" s="567">
        <v>110.66000000000001</v>
      </c>
      <c r="F37" s="567">
        <v>0</v>
      </c>
      <c r="G37" s="539">
        <v>150</v>
      </c>
      <c r="H37" s="567">
        <v>70.459895000000003</v>
      </c>
      <c r="I37" s="567">
        <f t="shared" si="0"/>
        <v>45.730243399300619</v>
      </c>
    </row>
    <row r="38" spans="1:9">
      <c r="A38" s="415">
        <v>27</v>
      </c>
      <c r="B38" s="18" t="s">
        <v>938</v>
      </c>
      <c r="C38" s="567">
        <v>89.629103649136866</v>
      </c>
      <c r="D38" s="567">
        <v>2.6591036491368669</v>
      </c>
      <c r="E38" s="567">
        <v>86.97</v>
      </c>
      <c r="F38" s="567">
        <v>0</v>
      </c>
      <c r="G38" s="539">
        <v>150</v>
      </c>
      <c r="H38" s="567">
        <v>31.9</v>
      </c>
      <c r="I38" s="567">
        <f t="shared" si="0"/>
        <v>57.729103649136867</v>
      </c>
    </row>
    <row r="39" spans="1:9">
      <c r="A39" s="415">
        <v>28</v>
      </c>
      <c r="B39" s="18" t="s">
        <v>939</v>
      </c>
      <c r="C39" s="567">
        <v>102.7342177372247</v>
      </c>
      <c r="D39" s="567">
        <v>5.4842177372246965</v>
      </c>
      <c r="E39" s="567">
        <v>97.25</v>
      </c>
      <c r="F39" s="567">
        <v>0</v>
      </c>
      <c r="G39" s="539">
        <v>150</v>
      </c>
      <c r="H39" s="567">
        <v>79.23</v>
      </c>
      <c r="I39" s="567">
        <f t="shared" si="0"/>
        <v>23.504217737224693</v>
      </c>
    </row>
    <row r="40" spans="1:9">
      <c r="A40" s="415">
        <v>29</v>
      </c>
      <c r="B40" s="18" t="s">
        <v>940</v>
      </c>
      <c r="C40" s="567">
        <v>66.786406038552258</v>
      </c>
      <c r="D40" s="567">
        <v>5.6064060385522438</v>
      </c>
      <c r="E40" s="567">
        <v>61.180000000000007</v>
      </c>
      <c r="F40" s="567">
        <v>0</v>
      </c>
      <c r="G40" s="539">
        <v>150</v>
      </c>
      <c r="H40" s="567">
        <v>49.629999999999995</v>
      </c>
      <c r="I40" s="567">
        <f t="shared" si="0"/>
        <v>17.156406038552262</v>
      </c>
    </row>
    <row r="41" spans="1:9">
      <c r="A41" s="415">
        <v>30</v>
      </c>
      <c r="B41" s="18" t="s">
        <v>941</v>
      </c>
      <c r="C41" s="567">
        <v>115.01773851493286</v>
      </c>
      <c r="D41" s="567">
        <v>10.953970014932857</v>
      </c>
      <c r="E41" s="567">
        <v>104.06376849999999</v>
      </c>
      <c r="F41" s="567">
        <v>0</v>
      </c>
      <c r="G41" s="539">
        <v>150</v>
      </c>
      <c r="H41" s="567">
        <v>105.7</v>
      </c>
      <c r="I41" s="567">
        <f t="shared" si="0"/>
        <v>9.3177385149328558</v>
      </c>
    </row>
    <row r="42" spans="1:9">
      <c r="A42" s="415">
        <v>31</v>
      </c>
      <c r="B42" s="18" t="s">
        <v>942</v>
      </c>
      <c r="C42" s="567">
        <v>105.11</v>
      </c>
      <c r="D42" s="567">
        <v>6.6264209153394305</v>
      </c>
      <c r="E42" s="567">
        <v>98.48</v>
      </c>
      <c r="F42" s="567">
        <v>0</v>
      </c>
      <c r="G42" s="539">
        <v>150</v>
      </c>
      <c r="H42" s="567">
        <v>42.2</v>
      </c>
      <c r="I42" s="567">
        <f t="shared" si="0"/>
        <v>62.906420915339439</v>
      </c>
    </row>
    <row r="43" spans="1:9">
      <c r="A43" s="415">
        <v>32</v>
      </c>
      <c r="B43" s="18" t="s">
        <v>943</v>
      </c>
      <c r="C43" s="567">
        <v>68.164346326702187</v>
      </c>
      <c r="D43" s="567">
        <v>6.8043463267021842</v>
      </c>
      <c r="E43" s="567">
        <v>61.36</v>
      </c>
      <c r="F43" s="567">
        <v>0</v>
      </c>
      <c r="G43" s="539">
        <v>150</v>
      </c>
      <c r="H43" s="567">
        <v>67.11</v>
      </c>
      <c r="I43" s="567">
        <f t="shared" si="0"/>
        <v>1.0543463267021878</v>
      </c>
    </row>
    <row r="44" spans="1:9">
      <c r="A44" s="415">
        <v>33</v>
      </c>
      <c r="B44" s="18" t="s">
        <v>944</v>
      </c>
      <c r="C44" s="567">
        <v>99.219216800000012</v>
      </c>
      <c r="D44" s="567">
        <v>11.12</v>
      </c>
      <c r="E44" s="567">
        <v>88.099216800000008</v>
      </c>
      <c r="F44" s="567">
        <v>0</v>
      </c>
      <c r="G44" s="539">
        <v>150</v>
      </c>
      <c r="H44" s="567">
        <v>49.79</v>
      </c>
      <c r="I44" s="567">
        <f t="shared" si="0"/>
        <v>49.429216800000013</v>
      </c>
    </row>
    <row r="45" spans="1:9">
      <c r="A45" s="415">
        <v>34</v>
      </c>
      <c r="B45" s="18" t="s">
        <v>945</v>
      </c>
      <c r="C45" s="567">
        <v>71.054954570379351</v>
      </c>
      <c r="D45" s="567">
        <v>11.964954570379366</v>
      </c>
      <c r="E45" s="567">
        <v>59.089999999999989</v>
      </c>
      <c r="F45" s="567">
        <v>0</v>
      </c>
      <c r="G45" s="539">
        <v>150</v>
      </c>
      <c r="H45" s="567">
        <v>30.83</v>
      </c>
      <c r="I45" s="567">
        <f t="shared" si="0"/>
        <v>40.224954570379353</v>
      </c>
    </row>
    <row r="46" spans="1:9">
      <c r="A46" s="3" t="s">
        <v>17</v>
      </c>
      <c r="B46" s="18"/>
      <c r="C46" s="570">
        <f>SUM(C12:C45)</f>
        <v>1867.6375910690224</v>
      </c>
      <c r="D46" s="570">
        <f>SUM(D12:D45)</f>
        <v>124.11401198436185</v>
      </c>
      <c r="E46" s="570">
        <f>SUM(E12:E45)</f>
        <v>1743.52</v>
      </c>
      <c r="F46" s="570">
        <f>SUM(F12:F45)</f>
        <v>0</v>
      </c>
      <c r="G46" s="538"/>
      <c r="H46" s="570">
        <f>SUM(H12:H45)</f>
        <v>1079.6988125457142</v>
      </c>
      <c r="I46" s="570">
        <f>SUM(I12:I45)</f>
        <v>787.93519943864794</v>
      </c>
    </row>
    <row r="47" spans="1:9">
      <c r="E47" s="28"/>
      <c r="F47" s="28"/>
      <c r="G47" s="28"/>
      <c r="H47" s="20"/>
      <c r="I47" s="20"/>
    </row>
    <row r="48" spans="1:9">
      <c r="C48" s="700"/>
      <c r="F48" s="423"/>
      <c r="H48" s="700"/>
      <c r="I48" s="700"/>
    </row>
    <row r="49" spans="1:16" ht="15.75">
      <c r="A49" s="417"/>
      <c r="B49" s="13"/>
      <c r="C49" s="13"/>
      <c r="D49" s="13"/>
      <c r="E49" s="13"/>
      <c r="F49" s="13"/>
      <c r="G49" s="804" t="s">
        <v>12</v>
      </c>
      <c r="H49" s="804"/>
      <c r="I49" s="804"/>
      <c r="J49" s="804"/>
      <c r="K49" s="417"/>
      <c r="L49" s="417"/>
    </row>
    <row r="50" spans="1:16" ht="12.75" customHeight="1">
      <c r="A50" s="803" t="s">
        <v>906</v>
      </c>
      <c r="B50" s="803"/>
      <c r="C50" s="803"/>
      <c r="D50" s="803"/>
      <c r="E50" s="375"/>
      <c r="F50" s="375"/>
      <c r="G50" s="804" t="s">
        <v>13</v>
      </c>
      <c r="H50" s="804"/>
      <c r="I50" s="804"/>
      <c r="J50" s="804"/>
      <c r="K50" s="417"/>
      <c r="L50" s="417"/>
    </row>
    <row r="51" spans="1:16" ht="12.75" customHeight="1">
      <c r="A51" s="804" t="s">
        <v>907</v>
      </c>
      <c r="B51" s="804"/>
      <c r="C51" s="804"/>
      <c r="D51" s="804"/>
      <c r="E51" s="375"/>
      <c r="F51" s="375"/>
      <c r="G51" s="804" t="s">
        <v>18</v>
      </c>
      <c r="H51" s="804"/>
      <c r="I51" s="804"/>
      <c r="J51" s="804"/>
      <c r="K51" s="417"/>
      <c r="L51" s="417"/>
    </row>
    <row r="52" spans="1:16">
      <c r="A52" s="804" t="s">
        <v>908</v>
      </c>
      <c r="B52" s="804"/>
      <c r="C52" s="804"/>
      <c r="D52" s="804"/>
      <c r="E52"/>
      <c r="F52"/>
      <c r="G52" s="417"/>
      <c r="H52" s="14"/>
      <c r="I52" s="33" t="s">
        <v>84</v>
      </c>
      <c r="J52" s="33"/>
      <c r="K52" s="417"/>
      <c r="L52" s="417"/>
    </row>
    <row r="53" spans="1:16">
      <c r="A53" s="416"/>
      <c r="B53" s="416"/>
      <c r="C53" s="416"/>
      <c r="D53" s="416"/>
      <c r="E53" s="416"/>
      <c r="F53" s="416"/>
      <c r="G53" s="417"/>
      <c r="H53" s="417"/>
      <c r="I53" s="417"/>
      <c r="J53" s="417"/>
      <c r="K53" s="417"/>
      <c r="L53" s="417"/>
    </row>
    <row r="54" spans="1:16" ht="15.75">
      <c r="A54" s="13" t="s">
        <v>11</v>
      </c>
      <c r="B54" s="417"/>
      <c r="C54" s="417"/>
      <c r="D54" s="417"/>
      <c r="E54" s="417"/>
      <c r="F54" s="417"/>
      <c r="G54" s="417"/>
      <c r="H54" s="417"/>
      <c r="I54" s="417"/>
      <c r="J54" s="417"/>
      <c r="K54" s="417"/>
      <c r="L54" s="417"/>
      <c r="M54" s="417"/>
      <c r="N54" s="417"/>
      <c r="O54" s="417"/>
      <c r="P54" s="417"/>
    </row>
  </sheetData>
  <mergeCells count="9">
    <mergeCell ref="C3:F3"/>
    <mergeCell ref="D9:I9"/>
    <mergeCell ref="A5:I5"/>
    <mergeCell ref="A52:D52"/>
    <mergeCell ref="G49:J49"/>
    <mergeCell ref="A50:D50"/>
    <mergeCell ref="G50:J50"/>
    <mergeCell ref="A51:D51"/>
    <mergeCell ref="G51:J51"/>
  </mergeCells>
  <phoneticPr fontId="0" type="noConversion"/>
  <printOptions horizontalCentered="1"/>
  <pageMargins left="0.70866141732283472" right="0.70866141732283472" top="0.23622047244094491" bottom="0" header="0.31496062992125984" footer="0.31496062992125984"/>
  <pageSetup paperSize="9" scale="78" orientation="landscape" r:id="rId1"/>
  <colBreaks count="1" manualBreakCount="1">
    <brk id="9" max="32" man="1"/>
  </colBreaks>
</worksheet>
</file>

<file path=xl/worksheets/sheet29.xml><?xml version="1.0" encoding="utf-8"?>
<worksheet xmlns="http://schemas.openxmlformats.org/spreadsheetml/2006/main" xmlns:r="http://schemas.openxmlformats.org/officeDocument/2006/relationships">
  <sheetPr codeName="Sheet29">
    <pageSetUpPr fitToPage="1"/>
  </sheetPr>
  <dimension ref="A1:I36"/>
  <sheetViews>
    <sheetView view="pageBreakPreview" topLeftCell="A14" zoomScale="81" zoomScaleSheetLayoutView="81" workbookViewId="0">
      <selection activeCell="G26" sqref="G26"/>
    </sheetView>
  </sheetViews>
  <sheetFormatPr defaultRowHeight="12.75"/>
  <cols>
    <col min="1" max="1" width="4.42578125" style="15" customWidth="1"/>
    <col min="2" max="2" width="37.28515625" style="15" customWidth="1"/>
    <col min="3" max="3" width="12.28515625" style="15" customWidth="1"/>
    <col min="4" max="5" width="15.140625" style="15" customWidth="1"/>
    <col min="6" max="6" width="15.85546875" style="15" customWidth="1"/>
    <col min="7" max="7" width="12.5703125" style="15" customWidth="1"/>
    <col min="8" max="8" width="17.5703125" style="15" customWidth="1"/>
    <col min="9" max="16384" width="9.140625" style="15"/>
  </cols>
  <sheetData>
    <row r="1" spans="1:9" customFormat="1" ht="15">
      <c r="D1" s="33"/>
      <c r="E1" s="33"/>
      <c r="F1" s="33"/>
      <c r="G1" s="15"/>
      <c r="H1" s="38" t="s">
        <v>67</v>
      </c>
    </row>
    <row r="2" spans="1:9" customFormat="1" ht="15">
      <c r="A2" s="920" t="s">
        <v>0</v>
      </c>
      <c r="B2" s="920"/>
      <c r="C2" s="920"/>
      <c r="D2" s="920"/>
      <c r="E2" s="920"/>
      <c r="F2" s="920"/>
      <c r="G2" s="920"/>
      <c r="H2" s="920"/>
    </row>
    <row r="3" spans="1:9" customFormat="1" ht="20.25">
      <c r="A3" s="848" t="s">
        <v>745</v>
      </c>
      <c r="B3" s="848"/>
      <c r="C3" s="848"/>
      <c r="D3" s="848"/>
      <c r="E3" s="848"/>
      <c r="F3" s="848"/>
      <c r="G3" s="848"/>
      <c r="H3" s="848"/>
    </row>
    <row r="4" spans="1:9" customFormat="1" ht="10.5" customHeight="1"/>
    <row r="5" spans="1:9" ht="19.5" customHeight="1">
      <c r="A5" s="849" t="s">
        <v>819</v>
      </c>
      <c r="B5" s="920"/>
      <c r="C5" s="920"/>
      <c r="D5" s="920"/>
      <c r="E5" s="920"/>
      <c r="F5" s="920"/>
      <c r="G5" s="920"/>
      <c r="H5" s="920"/>
    </row>
    <row r="7" spans="1:9" s="13" customFormat="1" ht="15.75" hidden="1" customHeight="1">
      <c r="A7" s="15"/>
      <c r="B7" s="15"/>
      <c r="C7" s="15"/>
      <c r="D7" s="15"/>
      <c r="E7" s="15"/>
      <c r="F7" s="15"/>
      <c r="G7" s="15"/>
      <c r="H7" s="15"/>
    </row>
    <row r="8" spans="1:9" s="13" customFormat="1" ht="15.75">
      <c r="A8" s="850" t="s">
        <v>162</v>
      </c>
      <c r="B8" s="850"/>
      <c r="C8" s="15"/>
      <c r="D8" s="15"/>
      <c r="E8" s="15"/>
      <c r="F8" s="15"/>
      <c r="G8" s="15"/>
      <c r="H8" s="30" t="s">
        <v>27</v>
      </c>
    </row>
    <row r="9" spans="1:9" s="13" customFormat="1" ht="15.75">
      <c r="A9" s="14"/>
      <c r="B9" s="15"/>
      <c r="C9" s="15"/>
      <c r="D9" s="101"/>
      <c r="E9" s="101"/>
      <c r="G9" s="914" t="s">
        <v>831</v>
      </c>
      <c r="H9" s="914"/>
      <c r="I9" s="123"/>
    </row>
    <row r="10" spans="1:9" s="34" customFormat="1" ht="55.5" customHeight="1">
      <c r="A10" s="36"/>
      <c r="B10" s="5" t="s">
        <v>28</v>
      </c>
      <c r="C10" s="340" t="s">
        <v>860</v>
      </c>
      <c r="D10" s="340" t="s">
        <v>826</v>
      </c>
      <c r="E10" s="5" t="s">
        <v>223</v>
      </c>
      <c r="F10" s="5" t="s">
        <v>224</v>
      </c>
      <c r="G10" s="5" t="s">
        <v>73</v>
      </c>
      <c r="H10" s="340" t="s">
        <v>861</v>
      </c>
    </row>
    <row r="11" spans="1:9" s="34" customFormat="1" ht="14.25" customHeight="1">
      <c r="A11" s="5">
        <v>1</v>
      </c>
      <c r="B11" s="5">
        <v>2</v>
      </c>
      <c r="C11" s="5">
        <v>3</v>
      </c>
      <c r="D11" s="5">
        <v>4</v>
      </c>
      <c r="E11" s="5">
        <v>5</v>
      </c>
      <c r="F11" s="5">
        <v>6</v>
      </c>
      <c r="G11" s="5">
        <v>7</v>
      </c>
      <c r="H11" s="5">
        <v>8</v>
      </c>
    </row>
    <row r="12" spans="1:9" ht="16.5" customHeight="1">
      <c r="A12" s="27" t="s">
        <v>29</v>
      </c>
      <c r="B12" s="27" t="s">
        <v>30</v>
      </c>
      <c r="C12" s="497"/>
      <c r="D12" s="972">
        <v>0</v>
      </c>
      <c r="E12" s="497"/>
      <c r="F12" s="972">
        <v>0</v>
      </c>
      <c r="G12" s="18"/>
      <c r="H12" s="972">
        <f>D12+E13+E14+E15-G13-G14-G15</f>
        <v>307.86</v>
      </c>
    </row>
    <row r="13" spans="1:9" ht="20.25" customHeight="1">
      <c r="A13" s="18"/>
      <c r="B13" s="18" t="s">
        <v>31</v>
      </c>
      <c r="C13" s="497">
        <v>111.8</v>
      </c>
      <c r="D13" s="972"/>
      <c r="E13" s="497">
        <v>111.8</v>
      </c>
      <c r="F13" s="972"/>
      <c r="G13" s="426">
        <v>46.67</v>
      </c>
      <c r="H13" s="973"/>
    </row>
    <row r="14" spans="1:9" ht="17.25" customHeight="1">
      <c r="A14" s="18"/>
      <c r="B14" s="18" t="s">
        <v>188</v>
      </c>
      <c r="C14" s="497">
        <v>241.59</v>
      </c>
      <c r="D14" s="972"/>
      <c r="E14" s="497">
        <v>241.59</v>
      </c>
      <c r="F14" s="972"/>
      <c r="G14" s="426">
        <v>100.84</v>
      </c>
      <c r="H14" s="973"/>
    </row>
    <row r="15" spans="1:9" s="34" customFormat="1" ht="33.75" customHeight="1">
      <c r="A15" s="35"/>
      <c r="B15" s="35" t="s">
        <v>189</v>
      </c>
      <c r="C15" s="497">
        <v>301.35000000000002</v>
      </c>
      <c r="D15" s="972"/>
      <c r="E15" s="497">
        <v>301.35000000000002</v>
      </c>
      <c r="F15" s="972"/>
      <c r="G15" s="426">
        <v>199.36999999999998</v>
      </c>
      <c r="H15" s="973"/>
    </row>
    <row r="16" spans="1:9" s="34" customFormat="1">
      <c r="A16" s="35"/>
      <c r="B16" s="36" t="s">
        <v>32</v>
      </c>
      <c r="C16" s="429">
        <v>654.74</v>
      </c>
      <c r="D16" s="429">
        <f t="shared" ref="D16:F16" si="0">SUM(D12)</f>
        <v>0</v>
      </c>
      <c r="E16" s="429">
        <f>SUM(E13:E15)</f>
        <v>654.74</v>
      </c>
      <c r="F16" s="429">
        <f t="shared" si="0"/>
        <v>0</v>
      </c>
      <c r="G16" s="430">
        <f>SUM(G13:G15)</f>
        <v>346.88</v>
      </c>
      <c r="H16" s="428">
        <f>SUM(H12)</f>
        <v>307.86</v>
      </c>
    </row>
    <row r="17" spans="1:9" s="34" customFormat="1" ht="40.5" customHeight="1">
      <c r="A17" s="36" t="s">
        <v>33</v>
      </c>
      <c r="B17" s="36" t="s">
        <v>222</v>
      </c>
      <c r="C17" s="496"/>
      <c r="D17" s="970">
        <v>0</v>
      </c>
      <c r="E17" s="496"/>
      <c r="F17" s="970">
        <v>0</v>
      </c>
      <c r="G17" s="35"/>
      <c r="H17" s="970">
        <f>D17+E18+E19+E20+E21+E22+E23+E24-G18-G19-G20-G21-G22-G23-G24</f>
        <v>347.15</v>
      </c>
    </row>
    <row r="18" spans="1:9" ht="28.5" customHeight="1">
      <c r="A18" s="18"/>
      <c r="B18" s="149" t="s">
        <v>191</v>
      </c>
      <c r="C18" s="496">
        <v>0</v>
      </c>
      <c r="D18" s="970"/>
      <c r="E18" s="496">
        <v>0</v>
      </c>
      <c r="F18" s="970"/>
      <c r="G18" s="409">
        <v>0</v>
      </c>
      <c r="H18" s="971"/>
    </row>
    <row r="19" spans="1:9" ht="19.5" customHeight="1">
      <c r="A19" s="18"/>
      <c r="B19" s="35" t="s">
        <v>34</v>
      </c>
      <c r="C19" s="496">
        <v>198.23</v>
      </c>
      <c r="D19" s="970"/>
      <c r="E19" s="496">
        <v>198.23</v>
      </c>
      <c r="F19" s="970"/>
      <c r="G19" s="409">
        <v>81.260000000000005</v>
      </c>
      <c r="H19" s="971"/>
    </row>
    <row r="20" spans="1:9" ht="21.75" customHeight="1">
      <c r="A20" s="18"/>
      <c r="B20" s="35" t="s">
        <v>192</v>
      </c>
      <c r="C20" s="496">
        <v>142.56</v>
      </c>
      <c r="D20" s="970"/>
      <c r="E20" s="496">
        <v>142.57</v>
      </c>
      <c r="F20" s="970"/>
      <c r="G20" s="409">
        <v>58.43</v>
      </c>
      <c r="H20" s="971"/>
    </row>
    <row r="21" spans="1:9" s="34" customFormat="1" ht="27.75" customHeight="1">
      <c r="A21" s="35"/>
      <c r="B21" s="35" t="s">
        <v>35</v>
      </c>
      <c r="C21" s="496">
        <v>114.71</v>
      </c>
      <c r="D21" s="970"/>
      <c r="E21" s="496">
        <v>114.71</v>
      </c>
      <c r="F21" s="970"/>
      <c r="G21" s="427">
        <v>47.01</v>
      </c>
      <c r="H21" s="971"/>
    </row>
    <row r="22" spans="1:9" s="34" customFormat="1" ht="19.5" customHeight="1">
      <c r="A22" s="35"/>
      <c r="B22" s="35" t="s">
        <v>190</v>
      </c>
      <c r="C22" s="496">
        <v>114.71</v>
      </c>
      <c r="D22" s="970"/>
      <c r="E22" s="496">
        <v>114.71</v>
      </c>
      <c r="F22" s="970"/>
      <c r="G22" s="427">
        <v>47.01</v>
      </c>
      <c r="H22" s="971"/>
    </row>
    <row r="23" spans="1:9" s="34" customFormat="1" ht="27.75" customHeight="1">
      <c r="A23" s="35"/>
      <c r="B23" s="35" t="s">
        <v>193</v>
      </c>
      <c r="C23" s="496">
        <v>0</v>
      </c>
      <c r="D23" s="970"/>
      <c r="E23" s="496">
        <v>0</v>
      </c>
      <c r="F23" s="970"/>
      <c r="G23" s="427">
        <v>0</v>
      </c>
      <c r="H23" s="971"/>
    </row>
    <row r="24" spans="1:9" s="34" customFormat="1" ht="18.75" customHeight="1">
      <c r="A24" s="36"/>
      <c r="B24" s="35" t="s">
        <v>194</v>
      </c>
      <c r="C24" s="496">
        <v>17.980000000000061</v>
      </c>
      <c r="D24" s="970"/>
      <c r="E24" s="496">
        <v>17.980000000000061</v>
      </c>
      <c r="F24" s="970"/>
      <c r="G24" s="427">
        <v>7.3399999999999608</v>
      </c>
      <c r="H24" s="971"/>
    </row>
    <row r="25" spans="1:9" s="34" customFormat="1" ht="19.5" customHeight="1">
      <c r="A25" s="36"/>
      <c r="B25" s="36" t="s">
        <v>32</v>
      </c>
      <c r="C25" s="429">
        <f>SUM(C18:C24)</f>
        <v>588.18999999999994</v>
      </c>
      <c r="D25" s="429">
        <f t="shared" ref="D25:F25" si="1">SUM(D17)</f>
        <v>0</v>
      </c>
      <c r="E25" s="429">
        <f>SUM(E18:E24)</f>
        <v>588.19999999999993</v>
      </c>
      <c r="F25" s="429">
        <f t="shared" si="1"/>
        <v>0</v>
      </c>
      <c r="G25" s="431">
        <f>SUM(G18:G24)</f>
        <v>241.04999999999995</v>
      </c>
      <c r="H25" s="428">
        <f>SUM(H17)</f>
        <v>347.15</v>
      </c>
    </row>
    <row r="26" spans="1:9" ht="18.75" customHeight="1">
      <c r="A26" s="18"/>
      <c r="B26" s="27" t="s">
        <v>36</v>
      </c>
      <c r="C26" s="429">
        <f>C16+C25</f>
        <v>1242.9299999999998</v>
      </c>
      <c r="D26" s="429">
        <f t="shared" ref="D26:F26" si="2">D16+D25</f>
        <v>0</v>
      </c>
      <c r="E26" s="429">
        <f t="shared" si="2"/>
        <v>1242.94</v>
      </c>
      <c r="F26" s="429">
        <f t="shared" si="2"/>
        <v>0</v>
      </c>
      <c r="G26" s="432">
        <f>G16+G25</f>
        <v>587.92999999999995</v>
      </c>
      <c r="H26" s="433">
        <f>H16+H25</f>
        <v>655.01</v>
      </c>
    </row>
    <row r="27" spans="1:9" s="34" customFormat="1" ht="15.75" customHeight="1"/>
    <row r="28" spans="1:9" s="34" customFormat="1" ht="15.75" customHeight="1">
      <c r="E28" s="424"/>
    </row>
    <row r="29" spans="1:9" ht="13.15" customHeight="1">
      <c r="A29" s="420"/>
      <c r="B29" s="13"/>
      <c r="C29" s="583"/>
      <c r="D29" s="13"/>
      <c r="E29" s="583"/>
      <c r="F29" s="804" t="s">
        <v>12</v>
      </c>
      <c r="G29" s="804"/>
      <c r="H29" s="804"/>
      <c r="I29" s="418"/>
    </row>
    <row r="30" spans="1:9" ht="13.9" customHeight="1">
      <c r="A30" s="803" t="s">
        <v>906</v>
      </c>
      <c r="B30" s="803"/>
      <c r="C30" s="803"/>
      <c r="D30" s="803"/>
      <c r="E30" s="584"/>
      <c r="F30" s="804" t="s">
        <v>13</v>
      </c>
      <c r="G30" s="804"/>
      <c r="H30" s="804"/>
      <c r="I30" s="418"/>
    </row>
    <row r="31" spans="1:9" ht="12.6" customHeight="1">
      <c r="A31" s="804" t="s">
        <v>907</v>
      </c>
      <c r="B31" s="804"/>
      <c r="C31" s="804"/>
      <c r="D31" s="804"/>
      <c r="E31" s="375"/>
      <c r="F31" s="804" t="s">
        <v>18</v>
      </c>
      <c r="G31" s="804"/>
      <c r="H31" s="804"/>
      <c r="I31" s="418"/>
    </row>
    <row r="32" spans="1:9">
      <c r="A32" s="804" t="s">
        <v>908</v>
      </c>
      <c r="B32" s="804"/>
      <c r="C32" s="804"/>
      <c r="D32" s="804"/>
      <c r="E32"/>
      <c r="F32" s="420"/>
      <c r="G32" s="850" t="s">
        <v>84</v>
      </c>
      <c r="H32" s="850"/>
      <c r="I32" s="33"/>
    </row>
    <row r="33" spans="1:9">
      <c r="A33" s="419"/>
      <c r="B33" s="419"/>
      <c r="C33" s="419"/>
      <c r="D33" s="419"/>
      <c r="E33" s="419"/>
      <c r="F33" s="420"/>
      <c r="G33" s="420"/>
      <c r="H33" s="420"/>
      <c r="I33" s="420"/>
    </row>
    <row r="34" spans="1:9" ht="15.75">
      <c r="A34" s="13" t="s">
        <v>11</v>
      </c>
      <c r="B34" s="420"/>
      <c r="C34" s="420"/>
      <c r="D34" s="420"/>
      <c r="E34" s="420"/>
      <c r="F34" s="420"/>
      <c r="G34" s="420"/>
      <c r="H34" s="420"/>
      <c r="I34" s="420"/>
    </row>
    <row r="35" spans="1:9">
      <c r="A35" s="420"/>
      <c r="B35" s="420"/>
      <c r="C35" s="420"/>
      <c r="D35" s="420"/>
      <c r="E35" s="420"/>
      <c r="F35" s="420"/>
      <c r="G35" s="420"/>
      <c r="H35" s="420"/>
      <c r="I35" s="420"/>
    </row>
    <row r="36" spans="1:9">
      <c r="A36" s="420"/>
      <c r="B36" s="420"/>
      <c r="C36" s="420"/>
      <c r="D36" s="420"/>
      <c r="E36" s="420"/>
      <c r="F36" s="420"/>
      <c r="G36" s="420"/>
      <c r="H36" s="420"/>
      <c r="I36" s="420"/>
    </row>
  </sheetData>
  <mergeCells count="18">
    <mergeCell ref="A32:D32"/>
    <mergeCell ref="F29:H29"/>
    <mergeCell ref="F30:H30"/>
    <mergeCell ref="F31:H31"/>
    <mergeCell ref="G32:H32"/>
    <mergeCell ref="A30:D30"/>
    <mergeCell ref="A31:D31"/>
    <mergeCell ref="D17:D24"/>
    <mergeCell ref="F17:F24"/>
    <mergeCell ref="H17:H24"/>
    <mergeCell ref="A2:H2"/>
    <mergeCell ref="A3:H3"/>
    <mergeCell ref="D12:D15"/>
    <mergeCell ref="F12:F15"/>
    <mergeCell ref="H12:H15"/>
    <mergeCell ref="A5:H5"/>
    <mergeCell ref="A8:B8"/>
    <mergeCell ref="G9:H9"/>
  </mergeCells>
  <phoneticPr fontId="0" type="noConversion"/>
  <printOptions horizontalCentered="1"/>
  <pageMargins left="0.70866141732283472" right="0.70866141732283472" top="0.23622047244094491" bottom="0"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H13"/>
  <sheetViews>
    <sheetView zoomScaleSheetLayoutView="90" workbookViewId="0">
      <selection activeCell="F27" sqref="F27"/>
    </sheetView>
  </sheetViews>
  <sheetFormatPr defaultRowHeight="12.75"/>
  <sheetData>
    <row r="2" spans="2:8">
      <c r="B2" s="14"/>
    </row>
    <row r="4" spans="2:8" ht="12.75" customHeight="1">
      <c r="B4" s="802"/>
      <c r="C4" s="802"/>
      <c r="D4" s="802"/>
      <c r="E4" s="802"/>
      <c r="F4" s="802"/>
      <c r="G4" s="802"/>
      <c r="H4" s="802"/>
    </row>
    <row r="5" spans="2:8" ht="12.75" customHeight="1">
      <c r="B5" s="802"/>
      <c r="C5" s="802"/>
      <c r="D5" s="802"/>
      <c r="E5" s="802"/>
      <c r="F5" s="802"/>
      <c r="G5" s="802"/>
      <c r="H5" s="802"/>
    </row>
    <row r="6" spans="2:8" ht="12.75" customHeight="1">
      <c r="B6" s="802"/>
      <c r="C6" s="802"/>
      <c r="D6" s="802"/>
      <c r="E6" s="802"/>
      <c r="F6" s="802"/>
      <c r="G6" s="802"/>
      <c r="H6" s="802"/>
    </row>
    <row r="7" spans="2:8" ht="12.75" customHeight="1">
      <c r="B7" s="802"/>
      <c r="C7" s="802"/>
      <c r="D7" s="802"/>
      <c r="E7" s="802"/>
      <c r="F7" s="802"/>
      <c r="G7" s="802"/>
      <c r="H7" s="802"/>
    </row>
    <row r="8" spans="2:8" ht="12.75" customHeight="1">
      <c r="B8" s="802"/>
      <c r="C8" s="802"/>
      <c r="D8" s="802"/>
      <c r="E8" s="802"/>
      <c r="F8" s="802"/>
      <c r="G8" s="802"/>
      <c r="H8" s="802"/>
    </row>
    <row r="9" spans="2:8" ht="12.75" customHeight="1">
      <c r="B9" s="802"/>
      <c r="C9" s="802"/>
      <c r="D9" s="802"/>
      <c r="E9" s="802"/>
      <c r="F9" s="802"/>
      <c r="G9" s="802"/>
      <c r="H9" s="802"/>
    </row>
    <row r="10" spans="2:8" ht="12.75" customHeight="1">
      <c r="B10" s="802"/>
      <c r="C10" s="802"/>
      <c r="D10" s="802"/>
      <c r="E10" s="802"/>
      <c r="F10" s="802"/>
      <c r="G10" s="802"/>
      <c r="H10" s="802"/>
    </row>
    <row r="11" spans="2:8" ht="12.75" customHeight="1">
      <c r="B11" s="802"/>
      <c r="C11" s="802"/>
      <c r="D11" s="802"/>
      <c r="E11" s="802"/>
      <c r="F11" s="802"/>
      <c r="G11" s="802"/>
      <c r="H11" s="802"/>
    </row>
    <row r="12" spans="2:8" ht="12.75" customHeight="1">
      <c r="B12" s="802"/>
      <c r="C12" s="802"/>
      <c r="D12" s="802"/>
      <c r="E12" s="802"/>
      <c r="F12" s="802"/>
      <c r="G12" s="802"/>
      <c r="H12" s="802"/>
    </row>
    <row r="13" spans="2:8" ht="12.75" customHeight="1">
      <c r="B13" s="802"/>
      <c r="C13" s="802"/>
      <c r="D13" s="802"/>
      <c r="E13" s="802"/>
      <c r="F13" s="802"/>
      <c r="G13" s="802"/>
      <c r="H13" s="802"/>
    </row>
  </sheetData>
  <mergeCells count="1">
    <mergeCell ref="B4:H13"/>
  </mergeCells>
  <printOptions horizontalCentered="1" verticalCentered="1"/>
  <pageMargins left="0.70866141732283472" right="0.70866141732283472" top="0.23622047244094491" bottom="0" header="0.31496062992125984" footer="0.31496062992125984"/>
  <pageSetup paperSize="9" orientation="landscape" verticalDpi="4294967295" r:id="rId1"/>
  <drawing r:id="rId2"/>
</worksheet>
</file>

<file path=xl/worksheets/sheet30.xml><?xml version="1.0" encoding="utf-8"?>
<worksheet xmlns="http://schemas.openxmlformats.org/spreadsheetml/2006/main" xmlns:r="http://schemas.openxmlformats.org/officeDocument/2006/relationships">
  <sheetPr codeName="Sheet30">
    <pageSetUpPr fitToPage="1"/>
  </sheetPr>
  <dimension ref="A1:R55"/>
  <sheetViews>
    <sheetView view="pageBreakPreview" topLeftCell="A16" zoomScale="85" zoomScaleSheetLayoutView="85" workbookViewId="0">
      <selection activeCell="E34" sqref="E34"/>
    </sheetView>
  </sheetViews>
  <sheetFormatPr defaultRowHeight="12.75"/>
  <cols>
    <col min="1" max="1" width="9.140625" style="15"/>
    <col min="2" max="2" width="19.28515625" style="15" customWidth="1"/>
    <col min="3" max="3" width="28.42578125" style="15" customWidth="1"/>
    <col min="4" max="4" width="28.140625" style="15" customWidth="1"/>
    <col min="5" max="5" width="18.7109375" style="15" customWidth="1"/>
    <col min="6" max="16384" width="9.140625" style="15"/>
  </cols>
  <sheetData>
    <row r="1" spans="1:18" customFormat="1" ht="15">
      <c r="E1" s="38" t="s">
        <v>511</v>
      </c>
      <c r="F1" s="40"/>
    </row>
    <row r="2" spans="1:18" customFormat="1" ht="15">
      <c r="D2" s="42" t="s">
        <v>0</v>
      </c>
      <c r="E2" s="42"/>
      <c r="F2" s="42"/>
    </row>
    <row r="3" spans="1:18" customFormat="1" ht="20.25">
      <c r="B3" s="158"/>
      <c r="C3" s="848" t="s">
        <v>745</v>
      </c>
      <c r="D3" s="848"/>
      <c r="E3" s="848"/>
      <c r="F3" s="41"/>
    </row>
    <row r="4" spans="1:18" customFormat="1" ht="10.5" customHeight="1"/>
    <row r="5" spans="1:18" ht="15" customHeight="1">
      <c r="A5" s="969" t="s">
        <v>820</v>
      </c>
      <c r="B5" s="969"/>
      <c r="C5" s="969"/>
      <c r="D5" s="969"/>
      <c r="E5" s="969"/>
    </row>
    <row r="7" spans="1:18" ht="0.75" customHeight="1"/>
    <row r="8" spans="1:18">
      <c r="A8" s="14" t="s">
        <v>991</v>
      </c>
    </row>
    <row r="9" spans="1:18">
      <c r="D9" s="916" t="s">
        <v>831</v>
      </c>
      <c r="E9" s="916"/>
      <c r="Q9" s="18"/>
      <c r="R9" s="20"/>
    </row>
    <row r="10" spans="1:18" ht="26.25" customHeight="1">
      <c r="A10" s="834" t="s">
        <v>2</v>
      </c>
      <c r="B10" s="834" t="s">
        <v>3</v>
      </c>
      <c r="C10" s="974" t="s">
        <v>507</v>
      </c>
      <c r="D10" s="975"/>
      <c r="E10" s="976"/>
      <c r="Q10" s="20"/>
      <c r="R10" s="20"/>
    </row>
    <row r="11" spans="1:18" ht="56.25" customHeight="1">
      <c r="A11" s="834"/>
      <c r="B11" s="834"/>
      <c r="C11" s="5" t="s">
        <v>509</v>
      </c>
      <c r="D11" s="5" t="s">
        <v>510</v>
      </c>
      <c r="E11" s="5" t="s">
        <v>508</v>
      </c>
    </row>
    <row r="12" spans="1:18" s="114" customFormat="1" ht="15.75" customHeight="1">
      <c r="A12" s="66">
        <v>1</v>
      </c>
      <c r="B12" s="65">
        <v>2</v>
      </c>
      <c r="C12" s="66">
        <v>3</v>
      </c>
      <c r="D12" s="65">
        <v>4</v>
      </c>
      <c r="E12" s="66">
        <v>5</v>
      </c>
    </row>
    <row r="13" spans="1:18" ht="15" customHeight="1">
      <c r="A13" s="17">
        <v>1</v>
      </c>
      <c r="B13" s="18" t="s">
        <v>912</v>
      </c>
      <c r="C13" s="492">
        <v>1</v>
      </c>
      <c r="D13" s="492">
        <v>0</v>
      </c>
      <c r="E13" s="539">
        <f>'AT-3'!F9</f>
        <v>830</v>
      </c>
    </row>
    <row r="14" spans="1:18" ht="12" customHeight="1">
      <c r="A14" s="17">
        <v>2</v>
      </c>
      <c r="B14" s="18" t="s">
        <v>913</v>
      </c>
      <c r="C14" s="492">
        <v>1</v>
      </c>
      <c r="D14" s="492">
        <v>0</v>
      </c>
      <c r="E14" s="539">
        <f>'AT-3'!F10</f>
        <v>1283</v>
      </c>
    </row>
    <row r="15" spans="1:18">
      <c r="A15" s="17">
        <v>3</v>
      </c>
      <c r="B15" s="18" t="s">
        <v>914</v>
      </c>
      <c r="C15" s="492">
        <v>1</v>
      </c>
      <c r="D15" s="492">
        <v>0</v>
      </c>
      <c r="E15" s="539">
        <f>'AT-3'!F11</f>
        <v>2030</v>
      </c>
    </row>
    <row r="16" spans="1:18" s="495" customFormat="1">
      <c r="A16" s="492">
        <v>4</v>
      </c>
      <c r="B16" s="18" t="s">
        <v>915</v>
      </c>
      <c r="C16" s="492">
        <v>1</v>
      </c>
      <c r="D16" s="492">
        <v>0</v>
      </c>
      <c r="E16" s="539">
        <f>'AT-3'!F12</f>
        <v>1529</v>
      </c>
    </row>
    <row r="17" spans="1:5" s="495" customFormat="1">
      <c r="A17" s="492">
        <v>5</v>
      </c>
      <c r="B17" s="18" t="s">
        <v>916</v>
      </c>
      <c r="C17" s="492">
        <v>1</v>
      </c>
      <c r="D17" s="492">
        <v>1</v>
      </c>
      <c r="E17" s="539">
        <f>'AT-3'!F13</f>
        <v>2254</v>
      </c>
    </row>
    <row r="18" spans="1:5" s="495" customFormat="1">
      <c r="A18" s="492">
        <v>6</v>
      </c>
      <c r="B18" s="18" t="s">
        <v>917</v>
      </c>
      <c r="C18" s="492">
        <v>1</v>
      </c>
      <c r="D18" s="492">
        <v>1</v>
      </c>
      <c r="E18" s="539">
        <f>'AT-3'!F14</f>
        <v>1203</v>
      </c>
    </row>
    <row r="19" spans="1:5" s="495" customFormat="1">
      <c r="A19" s="492">
        <v>7</v>
      </c>
      <c r="B19" s="18" t="s">
        <v>918</v>
      </c>
      <c r="C19" s="492">
        <v>1</v>
      </c>
      <c r="D19" s="492">
        <v>1</v>
      </c>
      <c r="E19" s="539">
        <f>'AT-3'!F15</f>
        <v>1447</v>
      </c>
    </row>
    <row r="20" spans="1:5" s="495" customFormat="1">
      <c r="A20" s="492">
        <v>8</v>
      </c>
      <c r="B20" s="18" t="s">
        <v>919</v>
      </c>
      <c r="C20" s="492">
        <v>1</v>
      </c>
      <c r="D20" s="492">
        <v>0</v>
      </c>
      <c r="E20" s="539">
        <f>'AT-3'!F16</f>
        <v>2018</v>
      </c>
    </row>
    <row r="21" spans="1:5" s="495" customFormat="1">
      <c r="A21" s="492">
        <v>9</v>
      </c>
      <c r="B21" s="18" t="s">
        <v>920</v>
      </c>
      <c r="C21" s="492">
        <v>1</v>
      </c>
      <c r="D21" s="492">
        <v>0</v>
      </c>
      <c r="E21" s="539">
        <f>'AT-3'!F17</f>
        <v>1636</v>
      </c>
    </row>
    <row r="22" spans="1:5" s="495" customFormat="1">
      <c r="A22" s="492">
        <v>10</v>
      </c>
      <c r="B22" s="18" t="s">
        <v>921</v>
      </c>
      <c r="C22" s="492">
        <v>1</v>
      </c>
      <c r="D22" s="492">
        <v>0</v>
      </c>
      <c r="E22" s="539">
        <f>'AT-3'!F18</f>
        <v>2399</v>
      </c>
    </row>
    <row r="23" spans="1:5" s="495" customFormat="1">
      <c r="A23" s="492">
        <v>11</v>
      </c>
      <c r="B23" s="18" t="s">
        <v>922</v>
      </c>
      <c r="C23" s="492">
        <v>1</v>
      </c>
      <c r="D23" s="492">
        <v>0</v>
      </c>
      <c r="E23" s="539">
        <f>'AT-3'!F19</f>
        <v>1473</v>
      </c>
    </row>
    <row r="24" spans="1:5" s="495" customFormat="1">
      <c r="A24" s="492">
        <v>12</v>
      </c>
      <c r="B24" s="18" t="s">
        <v>923</v>
      </c>
      <c r="C24" s="492">
        <v>1</v>
      </c>
      <c r="D24" s="492">
        <v>1</v>
      </c>
      <c r="E24" s="539">
        <f>'AT-3'!F20</f>
        <v>2379</v>
      </c>
    </row>
    <row r="25" spans="1:5" s="495" customFormat="1">
      <c r="A25" s="492">
        <v>13</v>
      </c>
      <c r="B25" s="18" t="s">
        <v>924</v>
      </c>
      <c r="C25" s="492">
        <v>1</v>
      </c>
      <c r="D25" s="492">
        <v>1</v>
      </c>
      <c r="E25" s="539">
        <f>'AT-3'!F21</f>
        <v>1964</v>
      </c>
    </row>
    <row r="26" spans="1:5" s="495" customFormat="1">
      <c r="A26" s="492">
        <v>14</v>
      </c>
      <c r="B26" s="18" t="s">
        <v>925</v>
      </c>
      <c r="C26" s="492">
        <v>1</v>
      </c>
      <c r="D26" s="492">
        <v>0</v>
      </c>
      <c r="E26" s="539">
        <f>'AT-3'!F22</f>
        <v>926</v>
      </c>
    </row>
    <row r="27" spans="1:5" s="495" customFormat="1">
      <c r="A27" s="492">
        <v>15</v>
      </c>
      <c r="B27" s="18" t="s">
        <v>926</v>
      </c>
      <c r="C27" s="492">
        <v>1</v>
      </c>
      <c r="D27" s="492">
        <v>1</v>
      </c>
      <c r="E27" s="539">
        <f>'AT-3'!F23</f>
        <v>485</v>
      </c>
    </row>
    <row r="28" spans="1:5" s="495" customFormat="1">
      <c r="A28" s="492">
        <v>16</v>
      </c>
      <c r="B28" s="18" t="s">
        <v>927</v>
      </c>
      <c r="C28" s="492">
        <v>1</v>
      </c>
      <c r="D28" s="492">
        <v>1</v>
      </c>
      <c r="E28" s="539">
        <f>'AT-3'!F24</f>
        <v>2641</v>
      </c>
    </row>
    <row r="29" spans="1:5" s="495" customFormat="1">
      <c r="A29" s="492">
        <v>17</v>
      </c>
      <c r="B29" s="18" t="s">
        <v>928</v>
      </c>
      <c r="C29" s="492">
        <v>1</v>
      </c>
      <c r="D29" s="492">
        <v>1</v>
      </c>
      <c r="E29" s="539">
        <f>'AT-3'!F25</f>
        <v>1580</v>
      </c>
    </row>
    <row r="30" spans="1:5" s="495" customFormat="1">
      <c r="A30" s="492">
        <v>18</v>
      </c>
      <c r="B30" s="18" t="s">
        <v>929</v>
      </c>
      <c r="C30" s="492">
        <v>1</v>
      </c>
      <c r="D30" s="492">
        <v>0</v>
      </c>
      <c r="E30" s="539">
        <f>'AT-3'!F26</f>
        <v>1397</v>
      </c>
    </row>
    <row r="31" spans="1:5" s="495" customFormat="1">
      <c r="A31" s="492">
        <v>19</v>
      </c>
      <c r="B31" s="18" t="s">
        <v>930</v>
      </c>
      <c r="C31" s="492">
        <v>1</v>
      </c>
      <c r="D31" s="492">
        <v>1</v>
      </c>
      <c r="E31" s="539">
        <f>'AT-3'!F27</f>
        <v>940</v>
      </c>
    </row>
    <row r="32" spans="1:5" s="495" customFormat="1">
      <c r="A32" s="492">
        <v>20</v>
      </c>
      <c r="B32" s="18" t="s">
        <v>931</v>
      </c>
      <c r="C32" s="492">
        <v>1</v>
      </c>
      <c r="D32" s="492">
        <v>0</v>
      </c>
      <c r="E32" s="539">
        <f>'AT-3'!F28</f>
        <v>1081</v>
      </c>
    </row>
    <row r="33" spans="1:5" s="495" customFormat="1">
      <c r="A33" s="492">
        <v>21</v>
      </c>
      <c r="B33" s="18" t="s">
        <v>932</v>
      </c>
      <c r="C33" s="492">
        <v>1</v>
      </c>
      <c r="D33" s="492">
        <v>0</v>
      </c>
      <c r="E33" s="539">
        <f>'AT-3'!F29</f>
        <v>1084</v>
      </c>
    </row>
    <row r="34" spans="1:5" ht="15.75" customHeight="1">
      <c r="A34" s="492">
        <v>22</v>
      </c>
      <c r="B34" s="18" t="s">
        <v>933</v>
      </c>
      <c r="C34" s="492">
        <v>1</v>
      </c>
      <c r="D34" s="492">
        <v>0</v>
      </c>
      <c r="E34" s="539">
        <f>'AT-3'!F30</f>
        <v>1260</v>
      </c>
    </row>
    <row r="35" spans="1:5" ht="12.75" customHeight="1">
      <c r="A35" s="492">
        <v>23</v>
      </c>
      <c r="B35" s="18" t="s">
        <v>934</v>
      </c>
      <c r="C35" s="492">
        <v>1</v>
      </c>
      <c r="D35" s="492">
        <v>0</v>
      </c>
      <c r="E35" s="539">
        <f>'AT-3'!F31</f>
        <v>1520</v>
      </c>
    </row>
    <row r="36" spans="1:5" ht="12.75" customHeight="1">
      <c r="A36" s="492">
        <v>24</v>
      </c>
      <c r="B36" s="18" t="s">
        <v>935</v>
      </c>
      <c r="C36" s="492">
        <v>1</v>
      </c>
      <c r="D36" s="492">
        <v>0</v>
      </c>
      <c r="E36" s="539">
        <f>'AT-3'!F32</f>
        <v>852</v>
      </c>
    </row>
    <row r="37" spans="1:5">
      <c r="A37" s="492">
        <v>25</v>
      </c>
      <c r="B37" s="18" t="s">
        <v>936</v>
      </c>
      <c r="C37" s="492">
        <v>1</v>
      </c>
      <c r="D37" s="492">
        <v>0</v>
      </c>
      <c r="E37" s="539">
        <f>'AT-3'!F33</f>
        <v>1796</v>
      </c>
    </row>
    <row r="38" spans="1:5">
      <c r="A38" s="492">
        <v>26</v>
      </c>
      <c r="B38" s="18" t="s">
        <v>937</v>
      </c>
      <c r="C38" s="492">
        <v>1</v>
      </c>
      <c r="D38" s="492">
        <v>0</v>
      </c>
      <c r="E38" s="539">
        <f>'AT-3'!F34</f>
        <v>2248</v>
      </c>
    </row>
    <row r="39" spans="1:5">
      <c r="A39" s="492">
        <v>27</v>
      </c>
      <c r="B39" s="18" t="s">
        <v>938</v>
      </c>
      <c r="C39" s="492">
        <v>1</v>
      </c>
      <c r="D39" s="492">
        <v>0</v>
      </c>
      <c r="E39" s="539">
        <f>'AT-3'!F35</f>
        <v>1681</v>
      </c>
    </row>
    <row r="40" spans="1:5">
      <c r="A40" s="492">
        <v>28</v>
      </c>
      <c r="B40" s="18" t="s">
        <v>939</v>
      </c>
      <c r="C40" s="492">
        <v>1</v>
      </c>
      <c r="D40" s="492">
        <v>1</v>
      </c>
      <c r="E40" s="539">
        <f>'AT-3'!F36</f>
        <v>2325</v>
      </c>
    </row>
    <row r="41" spans="1:5">
      <c r="A41" s="492">
        <v>29</v>
      </c>
      <c r="B41" s="18" t="s">
        <v>940</v>
      </c>
      <c r="C41" s="492">
        <v>1</v>
      </c>
      <c r="D41" s="492">
        <v>1</v>
      </c>
      <c r="E41" s="539">
        <f>'AT-3'!F37</f>
        <v>1769</v>
      </c>
    </row>
    <row r="42" spans="1:5">
      <c r="A42" s="492">
        <v>30</v>
      </c>
      <c r="B42" s="18" t="s">
        <v>941</v>
      </c>
      <c r="C42" s="492">
        <v>1</v>
      </c>
      <c r="D42" s="492">
        <v>0</v>
      </c>
      <c r="E42" s="539">
        <f>'AT-3'!F38</f>
        <v>1996</v>
      </c>
    </row>
    <row r="43" spans="1:5">
      <c r="A43" s="492">
        <v>31</v>
      </c>
      <c r="B43" s="18" t="s">
        <v>942</v>
      </c>
      <c r="C43" s="492">
        <v>1</v>
      </c>
      <c r="D43" s="492">
        <v>1</v>
      </c>
      <c r="E43" s="539">
        <f>'AT-3'!F39</f>
        <v>2359</v>
      </c>
    </row>
    <row r="44" spans="1:5">
      <c r="A44" s="492">
        <v>32</v>
      </c>
      <c r="B44" s="18" t="s">
        <v>943</v>
      </c>
      <c r="C44" s="492">
        <v>1</v>
      </c>
      <c r="D44" s="492">
        <v>0</v>
      </c>
      <c r="E44" s="539">
        <f>'AT-3'!F40</f>
        <v>1156</v>
      </c>
    </row>
    <row r="45" spans="1:5">
      <c r="A45" s="492">
        <v>33</v>
      </c>
      <c r="B45" s="18" t="s">
        <v>944</v>
      </c>
      <c r="C45" s="492">
        <v>1</v>
      </c>
      <c r="D45" s="492">
        <v>0</v>
      </c>
      <c r="E45" s="539">
        <f>'AT-3'!F41</f>
        <v>1719</v>
      </c>
    </row>
    <row r="46" spans="1:5">
      <c r="A46" s="492">
        <v>34</v>
      </c>
      <c r="B46" s="18" t="s">
        <v>945</v>
      </c>
      <c r="C46" s="492">
        <v>1</v>
      </c>
      <c r="D46" s="492">
        <v>1</v>
      </c>
      <c r="E46" s="539">
        <f>'AT-3'!F42</f>
        <v>1101</v>
      </c>
    </row>
    <row r="47" spans="1:5">
      <c r="A47" s="3" t="s">
        <v>17</v>
      </c>
      <c r="B47" s="18"/>
      <c r="C47" s="492">
        <f>SUM(C13:C46)</f>
        <v>34</v>
      </c>
      <c r="D47" s="492">
        <f>SUM(D13:D46)</f>
        <v>13</v>
      </c>
      <c r="E47" s="492">
        <f>SUM(E13:E46)</f>
        <v>54361</v>
      </c>
    </row>
    <row r="48" spans="1:5">
      <c r="E48" s="28"/>
    </row>
    <row r="49" spans="1:8">
      <c r="A49" s="34"/>
      <c r="B49" s="34"/>
      <c r="C49" s="34"/>
      <c r="D49" s="34"/>
      <c r="E49" s="34"/>
      <c r="F49" s="34"/>
      <c r="G49" s="34"/>
      <c r="H49" s="34"/>
    </row>
    <row r="50" spans="1:8">
      <c r="A50" s="86"/>
      <c r="B50" s="86"/>
      <c r="C50" s="86" t="s">
        <v>10</v>
      </c>
      <c r="D50" s="86"/>
      <c r="E50" s="86"/>
      <c r="F50" s="86"/>
    </row>
    <row r="51" spans="1:8">
      <c r="A51" s="803" t="s">
        <v>906</v>
      </c>
      <c r="B51" s="803"/>
      <c r="C51" s="803"/>
      <c r="D51" s="901" t="s">
        <v>12</v>
      </c>
      <c r="E51" s="901"/>
      <c r="F51"/>
    </row>
    <row r="52" spans="1:8" ht="15.75" customHeight="1">
      <c r="A52" s="804" t="s">
        <v>907</v>
      </c>
      <c r="B52" s="804"/>
      <c r="C52" s="804"/>
      <c r="D52" s="901" t="s">
        <v>13</v>
      </c>
      <c r="E52" s="901"/>
      <c r="F52" s="494"/>
    </row>
    <row r="53" spans="1:8" ht="12.75" customHeight="1">
      <c r="A53" s="804" t="s">
        <v>908</v>
      </c>
      <c r="B53" s="804"/>
      <c r="C53" s="804"/>
      <c r="D53" s="901" t="s">
        <v>87</v>
      </c>
      <c r="E53" s="901"/>
      <c r="F53" s="494"/>
    </row>
    <row r="54" spans="1:8">
      <c r="A54" s="99" t="s">
        <v>984</v>
      </c>
      <c r="B54" s="86"/>
      <c r="C54" s="86"/>
      <c r="D54" s="897" t="s">
        <v>84</v>
      </c>
      <c r="E54" s="897"/>
      <c r="F54"/>
    </row>
    <row r="55" spans="1:8">
      <c r="A55" s="86"/>
      <c r="B55" s="86"/>
      <c r="C55" s="86"/>
      <c r="D55" s="86"/>
      <c r="E55" s="86"/>
      <c r="F55" s="86"/>
    </row>
  </sheetData>
  <mergeCells count="13">
    <mergeCell ref="D54:E54"/>
    <mergeCell ref="D52:E52"/>
    <mergeCell ref="D53:E53"/>
    <mergeCell ref="A51:C51"/>
    <mergeCell ref="A52:C52"/>
    <mergeCell ref="A53:C53"/>
    <mergeCell ref="D51:E51"/>
    <mergeCell ref="C3:E3"/>
    <mergeCell ref="A5:E5"/>
    <mergeCell ref="C10:E10"/>
    <mergeCell ref="D9:E9"/>
    <mergeCell ref="B10:B11"/>
    <mergeCell ref="A10:A11"/>
  </mergeCells>
  <printOptions horizontalCentered="1"/>
  <pageMargins left="0.70866141732283472" right="0.70866141732283472" top="0.23622047244094491" bottom="0" header="0.31496062992125984" footer="0.31496062992125984"/>
  <pageSetup paperSize="9" scale="77" orientation="landscape" r:id="rId1"/>
  <colBreaks count="1" manualBreakCount="1">
    <brk id="5" max="32" man="1"/>
  </colBreaks>
</worksheet>
</file>

<file path=xl/worksheets/sheet31.xml><?xml version="1.0" encoding="utf-8"?>
<worksheet xmlns="http://schemas.openxmlformats.org/spreadsheetml/2006/main" xmlns:r="http://schemas.openxmlformats.org/officeDocument/2006/relationships">
  <sheetPr codeName="Sheet31">
    <pageSetUpPr fitToPage="1"/>
  </sheetPr>
  <dimension ref="A1:J53"/>
  <sheetViews>
    <sheetView view="pageBreakPreview" topLeftCell="A37" zoomScale="110" zoomScaleSheetLayoutView="110" workbookViewId="0">
      <selection activeCell="A49" sqref="A49:C51"/>
    </sheetView>
  </sheetViews>
  <sheetFormatPr defaultRowHeight="12.75"/>
  <cols>
    <col min="1" max="1" width="8.28515625" customWidth="1"/>
    <col min="2" max="2" width="19.85546875" customWidth="1"/>
    <col min="3" max="3" width="14.28515625" customWidth="1"/>
    <col min="4" max="4" width="13.5703125" customWidth="1"/>
    <col min="5" max="6" width="12.85546875" customWidth="1"/>
    <col min="7" max="7" width="14.140625" customWidth="1"/>
    <col min="8" max="8" width="15.42578125" customWidth="1"/>
    <col min="9" max="9" width="13.28515625" customWidth="1"/>
  </cols>
  <sheetData>
    <row r="1" spans="1:10" ht="18">
      <c r="H1" s="977" t="s">
        <v>670</v>
      </c>
      <c r="I1" s="977"/>
    </row>
    <row r="2" spans="1:10" ht="18">
      <c r="C2" s="911" t="s">
        <v>0</v>
      </c>
      <c r="D2" s="911"/>
      <c r="E2" s="911"/>
      <c r="F2" s="911"/>
      <c r="G2" s="911"/>
      <c r="H2" s="252"/>
      <c r="I2" s="227"/>
      <c r="J2" s="227"/>
    </row>
    <row r="3" spans="1:10" ht="21">
      <c r="B3" s="912" t="s">
        <v>745</v>
      </c>
      <c r="C3" s="912"/>
      <c r="D3" s="912"/>
      <c r="E3" s="912"/>
      <c r="F3" s="912"/>
      <c r="G3" s="912"/>
      <c r="H3" s="228"/>
      <c r="I3" s="228"/>
      <c r="J3" s="228"/>
    </row>
    <row r="4" spans="1:10" ht="21">
      <c r="C4" s="196"/>
      <c r="D4" s="196"/>
      <c r="E4" s="196"/>
      <c r="F4" s="196"/>
      <c r="G4" s="196"/>
      <c r="H4" s="196"/>
      <c r="I4" s="228"/>
      <c r="J4" s="228"/>
    </row>
    <row r="5" spans="1:10" ht="20.25" customHeight="1">
      <c r="C5" s="978" t="s">
        <v>821</v>
      </c>
      <c r="D5" s="978"/>
      <c r="E5" s="978"/>
      <c r="F5" s="978"/>
      <c r="G5" s="978"/>
      <c r="H5" s="978"/>
    </row>
    <row r="6" spans="1:10" ht="20.25" customHeight="1">
      <c r="A6" s="495" t="s">
        <v>989</v>
      </c>
      <c r="C6" s="232"/>
      <c r="D6" s="232"/>
      <c r="E6" s="232"/>
      <c r="F6" s="232"/>
      <c r="G6" s="914" t="s">
        <v>831</v>
      </c>
      <c r="H6" s="914"/>
      <c r="I6" s="914"/>
    </row>
    <row r="7" spans="1:10" ht="12.75" customHeight="1">
      <c r="A7" s="982" t="s">
        <v>74</v>
      </c>
      <c r="B7" s="982" t="s">
        <v>37</v>
      </c>
      <c r="C7" s="982" t="s">
        <v>412</v>
      </c>
      <c r="D7" s="982" t="s">
        <v>391</v>
      </c>
      <c r="E7" s="982" t="s">
        <v>390</v>
      </c>
      <c r="F7" s="982"/>
      <c r="G7" s="982"/>
      <c r="H7" s="982" t="s">
        <v>731</v>
      </c>
      <c r="I7" s="979" t="s">
        <v>416</v>
      </c>
    </row>
    <row r="8" spans="1:10" ht="20.25" customHeight="1">
      <c r="A8" s="982"/>
      <c r="B8" s="982"/>
      <c r="C8" s="982"/>
      <c r="D8" s="982"/>
      <c r="E8" s="982" t="s">
        <v>413</v>
      </c>
      <c r="F8" s="979" t="s">
        <v>414</v>
      </c>
      <c r="G8" s="982" t="s">
        <v>415</v>
      </c>
      <c r="H8" s="982"/>
      <c r="I8" s="980"/>
    </row>
    <row r="9" spans="1:10" ht="63.75" customHeight="1">
      <c r="A9" s="982"/>
      <c r="B9" s="982"/>
      <c r="C9" s="982"/>
      <c r="D9" s="982"/>
      <c r="E9" s="982"/>
      <c r="F9" s="980"/>
      <c r="G9" s="982"/>
      <c r="H9" s="982"/>
      <c r="I9" s="980"/>
    </row>
    <row r="10" spans="1:10">
      <c r="A10" s="982"/>
      <c r="B10" s="982"/>
      <c r="C10" s="982"/>
      <c r="D10" s="982"/>
      <c r="E10" s="982"/>
      <c r="F10" s="981"/>
      <c r="G10" s="982"/>
      <c r="H10" s="982"/>
      <c r="I10" s="981"/>
    </row>
    <row r="11" spans="1:10" ht="15">
      <c r="A11" s="234">
        <v>1</v>
      </c>
      <c r="B11" s="234">
        <v>2</v>
      </c>
      <c r="C11" s="235">
        <v>3</v>
      </c>
      <c r="D11" s="234">
        <v>4</v>
      </c>
      <c r="E11" s="234">
        <v>5</v>
      </c>
      <c r="F11" s="235">
        <v>6</v>
      </c>
      <c r="G11" s="234">
        <v>7</v>
      </c>
      <c r="H11" s="234">
        <v>8</v>
      </c>
      <c r="I11" s="235">
        <v>9</v>
      </c>
    </row>
    <row r="12" spans="1:10" ht="14.25">
      <c r="A12" s="508">
        <v>1</v>
      </c>
      <c r="B12" s="480" t="s">
        <v>912</v>
      </c>
      <c r="C12" s="500">
        <v>0</v>
      </c>
      <c r="D12" s="500">
        <v>0</v>
      </c>
      <c r="E12" s="500">
        <v>0</v>
      </c>
      <c r="F12" s="500">
        <v>0</v>
      </c>
      <c r="G12" s="500">
        <v>0</v>
      </c>
      <c r="H12" s="500">
        <v>0</v>
      </c>
      <c r="I12" s="500">
        <v>0</v>
      </c>
    </row>
    <row r="13" spans="1:10" ht="14.25">
      <c r="A13" s="508">
        <v>2</v>
      </c>
      <c r="B13" s="480" t="s">
        <v>913</v>
      </c>
      <c r="C13" s="500">
        <v>0</v>
      </c>
      <c r="D13" s="500">
        <v>0</v>
      </c>
      <c r="E13" s="500">
        <v>0</v>
      </c>
      <c r="F13" s="500">
        <v>0</v>
      </c>
      <c r="G13" s="500">
        <v>0</v>
      </c>
      <c r="H13" s="500">
        <v>0</v>
      </c>
      <c r="I13" s="500">
        <v>0</v>
      </c>
    </row>
    <row r="14" spans="1:10" ht="25.5">
      <c r="A14" s="508">
        <v>3</v>
      </c>
      <c r="B14" s="480" t="s">
        <v>914</v>
      </c>
      <c r="C14" s="500">
        <v>0</v>
      </c>
      <c r="D14" s="501">
        <v>197</v>
      </c>
      <c r="E14" s="500" t="s">
        <v>992</v>
      </c>
      <c r="F14" s="500" t="s">
        <v>993</v>
      </c>
      <c r="G14" s="500"/>
      <c r="H14" s="500"/>
      <c r="I14" s="502"/>
    </row>
    <row r="15" spans="1:10" ht="14.25">
      <c r="A15" s="508">
        <v>4</v>
      </c>
      <c r="B15" s="480" t="s">
        <v>915</v>
      </c>
      <c r="C15" s="503">
        <v>0</v>
      </c>
      <c r="D15" s="500">
        <v>0</v>
      </c>
      <c r="E15" s="500">
        <v>0</v>
      </c>
      <c r="F15" s="500">
        <v>0</v>
      </c>
      <c r="G15" s="500">
        <v>0</v>
      </c>
      <c r="H15" s="500">
        <v>0</v>
      </c>
      <c r="I15" s="500">
        <v>0</v>
      </c>
    </row>
    <row r="16" spans="1:10" ht="25.5">
      <c r="A16" s="508">
        <v>5</v>
      </c>
      <c r="B16" s="480" t="s">
        <v>916</v>
      </c>
      <c r="C16" s="500">
        <v>0</v>
      </c>
      <c r="D16" s="500">
        <v>180</v>
      </c>
      <c r="E16" s="500" t="s">
        <v>992</v>
      </c>
      <c r="F16" s="500" t="s">
        <v>993</v>
      </c>
      <c r="G16" s="500">
        <v>0</v>
      </c>
      <c r="H16" s="500">
        <v>0</v>
      </c>
      <c r="I16" s="500">
        <v>0</v>
      </c>
    </row>
    <row r="17" spans="1:9" ht="14.25">
      <c r="A17" s="508">
        <v>6</v>
      </c>
      <c r="B17" s="480" t="s">
        <v>917</v>
      </c>
      <c r="C17" s="500">
        <v>0</v>
      </c>
      <c r="D17" s="500">
        <v>0</v>
      </c>
      <c r="E17" s="500">
        <f>SUM(E13:E16)</f>
        <v>0</v>
      </c>
      <c r="F17" s="500">
        <f>SUM(F13:F16)</f>
        <v>0</v>
      </c>
      <c r="G17" s="500">
        <f>SUM(G13:G16)</f>
        <v>0</v>
      </c>
      <c r="H17" s="500">
        <f>SUM(H13:H16)</f>
        <v>0</v>
      </c>
      <c r="I17" s="500">
        <v>0</v>
      </c>
    </row>
    <row r="18" spans="1:9" ht="14.25">
      <c r="A18" s="508">
        <v>7</v>
      </c>
      <c r="B18" s="480" t="s">
        <v>918</v>
      </c>
      <c r="C18" s="500">
        <v>0</v>
      </c>
      <c r="D18" s="500">
        <v>0</v>
      </c>
      <c r="E18" s="500">
        <v>0</v>
      </c>
      <c r="F18" s="500">
        <v>0</v>
      </c>
      <c r="G18" s="500">
        <v>0</v>
      </c>
      <c r="H18" s="500">
        <v>0</v>
      </c>
      <c r="I18" s="500">
        <v>0</v>
      </c>
    </row>
    <row r="19" spans="1:9" ht="25.5">
      <c r="A19" s="508">
        <v>8</v>
      </c>
      <c r="B19" s="480" t="s">
        <v>919</v>
      </c>
      <c r="C19" s="500">
        <v>0</v>
      </c>
      <c r="D19" s="504">
        <v>192</v>
      </c>
      <c r="E19" s="500" t="s">
        <v>992</v>
      </c>
      <c r="F19" s="500" t="s">
        <v>993</v>
      </c>
      <c r="G19" s="505"/>
      <c r="H19" s="505"/>
      <c r="I19" s="506"/>
    </row>
    <row r="20" spans="1:9" ht="25.5">
      <c r="A20" s="508">
        <v>9</v>
      </c>
      <c r="B20" s="480" t="s">
        <v>920</v>
      </c>
      <c r="C20" s="500">
        <v>0</v>
      </c>
      <c r="D20" s="500">
        <v>168</v>
      </c>
      <c r="E20" s="500" t="s">
        <v>992</v>
      </c>
      <c r="F20" s="500" t="s">
        <v>993</v>
      </c>
      <c r="G20" s="500"/>
      <c r="H20" s="500"/>
      <c r="I20" s="500"/>
    </row>
    <row r="21" spans="1:9" ht="14.25">
      <c r="A21" s="508">
        <v>10</v>
      </c>
      <c r="B21" s="480" t="s">
        <v>921</v>
      </c>
      <c r="C21" s="500">
        <v>0</v>
      </c>
      <c r="D21" s="500">
        <v>0</v>
      </c>
      <c r="E21" s="500">
        <v>0</v>
      </c>
      <c r="F21" s="500">
        <v>0</v>
      </c>
      <c r="G21" s="500">
        <v>0</v>
      </c>
      <c r="H21" s="500">
        <v>0</v>
      </c>
      <c r="I21" s="500">
        <v>0</v>
      </c>
    </row>
    <row r="22" spans="1:9" ht="14.25">
      <c r="A22" s="508">
        <v>11</v>
      </c>
      <c r="B22" s="480" t="s">
        <v>922</v>
      </c>
      <c r="C22" s="500">
        <v>0</v>
      </c>
      <c r="D22" s="500">
        <v>0</v>
      </c>
      <c r="E22" s="500">
        <v>0</v>
      </c>
      <c r="F22" s="500">
        <v>0</v>
      </c>
      <c r="G22" s="500">
        <v>0</v>
      </c>
      <c r="H22" s="500">
        <v>0</v>
      </c>
      <c r="I22" s="500">
        <v>0</v>
      </c>
    </row>
    <row r="23" spans="1:9" ht="14.25">
      <c r="A23" s="508">
        <v>12</v>
      </c>
      <c r="B23" s="480" t="s">
        <v>923</v>
      </c>
      <c r="C23" s="500">
        <v>0</v>
      </c>
      <c r="D23" s="500">
        <v>0</v>
      </c>
      <c r="E23" s="500">
        <v>0</v>
      </c>
      <c r="F23" s="500">
        <v>0</v>
      </c>
      <c r="G23" s="500">
        <v>0</v>
      </c>
      <c r="H23" s="500">
        <v>0</v>
      </c>
      <c r="I23" s="500">
        <v>0</v>
      </c>
    </row>
    <row r="24" spans="1:9" ht="25.5">
      <c r="A24" s="508">
        <v>13</v>
      </c>
      <c r="B24" s="480" t="s">
        <v>924</v>
      </c>
      <c r="C24" s="500">
        <v>0</v>
      </c>
      <c r="D24" s="504">
        <v>205</v>
      </c>
      <c r="E24" s="500" t="s">
        <v>992</v>
      </c>
      <c r="F24" s="500" t="s">
        <v>993</v>
      </c>
      <c r="G24" s="505"/>
      <c r="H24" s="505"/>
      <c r="I24" s="506"/>
    </row>
    <row r="25" spans="1:9" ht="25.5">
      <c r="A25" s="508">
        <v>14</v>
      </c>
      <c r="B25" s="480" t="s">
        <v>925</v>
      </c>
      <c r="C25" s="500">
        <v>0</v>
      </c>
      <c r="D25" s="500">
        <v>56</v>
      </c>
      <c r="E25" s="500" t="s">
        <v>992</v>
      </c>
      <c r="F25" s="500" t="s">
        <v>993</v>
      </c>
      <c r="G25" s="500"/>
      <c r="H25" s="500"/>
      <c r="I25" s="500"/>
    </row>
    <row r="26" spans="1:9" ht="14.25">
      <c r="A26" s="508">
        <v>15</v>
      </c>
      <c r="B26" s="480" t="s">
        <v>926</v>
      </c>
      <c r="C26" s="500">
        <v>0</v>
      </c>
      <c r="D26" s="500">
        <v>0</v>
      </c>
      <c r="E26" s="500">
        <v>0</v>
      </c>
      <c r="F26" s="500">
        <v>0</v>
      </c>
      <c r="G26" s="500">
        <v>0</v>
      </c>
      <c r="H26" s="500">
        <v>0</v>
      </c>
      <c r="I26" s="500">
        <v>0</v>
      </c>
    </row>
    <row r="27" spans="1:9" ht="25.5">
      <c r="A27" s="508">
        <v>16</v>
      </c>
      <c r="B27" s="480" t="s">
        <v>927</v>
      </c>
      <c r="C27" s="500">
        <v>0</v>
      </c>
      <c r="D27" s="500">
        <v>268</v>
      </c>
      <c r="E27" s="500" t="s">
        <v>992</v>
      </c>
      <c r="F27" s="500" t="s">
        <v>993</v>
      </c>
      <c r="G27" s="500">
        <v>0</v>
      </c>
      <c r="H27" s="500">
        <v>0</v>
      </c>
      <c r="I27" s="500">
        <v>0</v>
      </c>
    </row>
    <row r="28" spans="1:9" ht="25.5">
      <c r="A28" s="508">
        <v>17</v>
      </c>
      <c r="B28" s="480" t="s">
        <v>928</v>
      </c>
      <c r="C28" s="500">
        <v>0</v>
      </c>
      <c r="D28" s="500">
        <v>160</v>
      </c>
      <c r="E28" s="500" t="s">
        <v>992</v>
      </c>
      <c r="F28" s="500" t="s">
        <v>993</v>
      </c>
      <c r="G28" s="500"/>
      <c r="H28" s="500"/>
      <c r="I28" s="500"/>
    </row>
    <row r="29" spans="1:9" ht="14.25">
      <c r="A29" s="509">
        <v>18</v>
      </c>
      <c r="B29" s="481" t="s">
        <v>929</v>
      </c>
      <c r="C29" s="500">
        <v>0</v>
      </c>
      <c r="D29" s="500">
        <v>0</v>
      </c>
      <c r="E29" s="500">
        <v>0</v>
      </c>
      <c r="F29" s="500">
        <v>0</v>
      </c>
      <c r="G29" s="500">
        <v>0</v>
      </c>
      <c r="H29" s="500">
        <v>0</v>
      </c>
      <c r="I29" s="500">
        <v>0</v>
      </c>
    </row>
    <row r="30" spans="1:9" ht="25.5">
      <c r="A30" s="508">
        <v>19</v>
      </c>
      <c r="B30" s="480" t="s">
        <v>930</v>
      </c>
      <c r="C30" s="500">
        <v>0</v>
      </c>
      <c r="D30" s="500">
        <v>97</v>
      </c>
      <c r="E30" s="500" t="s">
        <v>992</v>
      </c>
      <c r="F30" s="500" t="s">
        <v>993</v>
      </c>
      <c r="G30" s="500"/>
      <c r="H30" s="500"/>
      <c r="I30" s="500"/>
    </row>
    <row r="31" spans="1:9" ht="25.5">
      <c r="A31" s="509">
        <v>20</v>
      </c>
      <c r="B31" s="481" t="s">
        <v>931</v>
      </c>
      <c r="C31" s="500">
        <v>0</v>
      </c>
      <c r="D31" s="500">
        <v>109</v>
      </c>
      <c r="E31" s="500" t="s">
        <v>992</v>
      </c>
      <c r="F31" s="500" t="s">
        <v>993</v>
      </c>
      <c r="G31" s="500">
        <v>0</v>
      </c>
      <c r="H31" s="500"/>
      <c r="I31" s="500"/>
    </row>
    <row r="32" spans="1:9" ht="14.25">
      <c r="A32" s="508">
        <v>21</v>
      </c>
      <c r="B32" s="480" t="s">
        <v>932</v>
      </c>
      <c r="C32" s="500">
        <v>0</v>
      </c>
      <c r="D32" s="500">
        <v>0</v>
      </c>
      <c r="E32" s="500">
        <v>0</v>
      </c>
      <c r="F32" s="500">
        <v>0</v>
      </c>
      <c r="G32" s="500">
        <v>0</v>
      </c>
      <c r="H32" s="500">
        <v>0</v>
      </c>
      <c r="I32" s="500">
        <v>0</v>
      </c>
    </row>
    <row r="33" spans="1:9" ht="28.5">
      <c r="A33" s="508">
        <v>22</v>
      </c>
      <c r="B33" s="480" t="s">
        <v>933</v>
      </c>
      <c r="C33" s="500">
        <v>0</v>
      </c>
      <c r="D33" s="500">
        <v>0</v>
      </c>
      <c r="E33" s="500">
        <v>0</v>
      </c>
      <c r="F33" s="500">
        <v>0</v>
      </c>
      <c r="G33" s="500">
        <v>0</v>
      </c>
      <c r="H33" s="500">
        <v>0</v>
      </c>
      <c r="I33" s="500">
        <v>0</v>
      </c>
    </row>
    <row r="34" spans="1:9" ht="14.25">
      <c r="A34" s="508">
        <v>23</v>
      </c>
      <c r="B34" s="480" t="s">
        <v>934</v>
      </c>
      <c r="C34" s="500">
        <v>0</v>
      </c>
      <c r="D34" s="500">
        <v>0</v>
      </c>
      <c r="E34" s="500">
        <v>0</v>
      </c>
      <c r="F34" s="500">
        <v>0</v>
      </c>
      <c r="G34" s="500">
        <v>0</v>
      </c>
      <c r="H34" s="500">
        <v>0</v>
      </c>
      <c r="I34" s="500">
        <v>0</v>
      </c>
    </row>
    <row r="35" spans="1:9" ht="25.5">
      <c r="A35" s="508">
        <v>24</v>
      </c>
      <c r="B35" s="480" t="s">
        <v>935</v>
      </c>
      <c r="C35" s="500">
        <v>0</v>
      </c>
      <c r="D35" s="500">
        <v>87</v>
      </c>
      <c r="E35" s="500" t="s">
        <v>992</v>
      </c>
      <c r="F35" s="500" t="s">
        <v>993</v>
      </c>
      <c r="G35" s="500"/>
      <c r="H35" s="500"/>
      <c r="I35" s="500"/>
    </row>
    <row r="36" spans="1:9" ht="14.25">
      <c r="A36" s="508">
        <v>25</v>
      </c>
      <c r="B36" s="480" t="s">
        <v>936</v>
      </c>
      <c r="C36" s="500">
        <v>0</v>
      </c>
      <c r="D36" s="500">
        <v>0</v>
      </c>
      <c r="E36" s="500">
        <v>0</v>
      </c>
      <c r="F36" s="500">
        <v>0</v>
      </c>
      <c r="G36" s="500">
        <v>0</v>
      </c>
      <c r="H36" s="500">
        <v>0</v>
      </c>
      <c r="I36" s="500">
        <v>0</v>
      </c>
    </row>
    <row r="37" spans="1:9" ht="14.25">
      <c r="A37" s="508">
        <v>26</v>
      </c>
      <c r="B37" s="480" t="s">
        <v>937</v>
      </c>
      <c r="C37" s="500">
        <v>0</v>
      </c>
      <c r="D37" s="500">
        <v>0</v>
      </c>
      <c r="E37" s="500">
        <v>0</v>
      </c>
      <c r="F37" s="500">
        <v>0</v>
      </c>
      <c r="G37" s="500">
        <v>0</v>
      </c>
      <c r="H37" s="500">
        <v>0</v>
      </c>
      <c r="I37" s="500">
        <v>0</v>
      </c>
    </row>
    <row r="38" spans="1:9" ht="14.25">
      <c r="A38" s="508">
        <v>27</v>
      </c>
      <c r="B38" s="480" t="s">
        <v>938</v>
      </c>
      <c r="C38" s="500">
        <v>0</v>
      </c>
      <c r="D38" s="500">
        <v>0</v>
      </c>
      <c r="E38" s="500">
        <v>0</v>
      </c>
      <c r="F38" s="500">
        <v>0</v>
      </c>
      <c r="G38" s="500">
        <v>0</v>
      </c>
      <c r="H38" s="500">
        <v>0</v>
      </c>
      <c r="I38" s="500">
        <v>0</v>
      </c>
    </row>
    <row r="39" spans="1:9" ht="14.25">
      <c r="A39" s="508">
        <v>28</v>
      </c>
      <c r="B39" s="480" t="s">
        <v>939</v>
      </c>
      <c r="C39" s="500">
        <v>0</v>
      </c>
      <c r="D39" s="500">
        <v>0</v>
      </c>
      <c r="E39" s="500">
        <v>0</v>
      </c>
      <c r="F39" s="500">
        <v>0</v>
      </c>
      <c r="G39" s="500">
        <v>0</v>
      </c>
      <c r="H39" s="500">
        <v>0</v>
      </c>
      <c r="I39" s="500">
        <v>0</v>
      </c>
    </row>
    <row r="40" spans="1:9" ht="25.5">
      <c r="A40" s="508">
        <v>29</v>
      </c>
      <c r="B40" s="480" t="s">
        <v>940</v>
      </c>
      <c r="C40" s="500">
        <v>0</v>
      </c>
      <c r="D40" s="500">
        <v>173</v>
      </c>
      <c r="E40" s="500" t="s">
        <v>992</v>
      </c>
      <c r="F40" s="500" t="s">
        <v>993</v>
      </c>
      <c r="G40" s="500">
        <v>0</v>
      </c>
      <c r="H40" s="500">
        <v>0</v>
      </c>
      <c r="I40" s="500">
        <v>0</v>
      </c>
    </row>
    <row r="41" spans="1:9" ht="25.5">
      <c r="A41" s="508">
        <v>30</v>
      </c>
      <c r="B41" s="480" t="s">
        <v>941</v>
      </c>
      <c r="C41" s="500">
        <v>0</v>
      </c>
      <c r="D41" s="500">
        <v>161</v>
      </c>
      <c r="E41" s="500" t="s">
        <v>992</v>
      </c>
      <c r="F41" s="500" t="s">
        <v>993</v>
      </c>
      <c r="G41" s="500">
        <v>0</v>
      </c>
      <c r="H41" s="500">
        <v>0</v>
      </c>
      <c r="I41" s="500">
        <v>0</v>
      </c>
    </row>
    <row r="42" spans="1:9" ht="25.5">
      <c r="A42" s="508">
        <v>31</v>
      </c>
      <c r="B42" s="480" t="s">
        <v>942</v>
      </c>
      <c r="C42" s="500">
        <v>0</v>
      </c>
      <c r="D42" s="500">
        <v>233</v>
      </c>
      <c r="E42" s="500" t="s">
        <v>992</v>
      </c>
      <c r="F42" s="500" t="s">
        <v>993</v>
      </c>
      <c r="G42" s="500">
        <v>0</v>
      </c>
      <c r="H42" s="500">
        <v>0</v>
      </c>
      <c r="I42" s="500">
        <v>0</v>
      </c>
    </row>
    <row r="43" spans="1:9" ht="25.5">
      <c r="A43" s="508">
        <v>32</v>
      </c>
      <c r="B43" s="480" t="s">
        <v>943</v>
      </c>
      <c r="C43" s="500">
        <v>0</v>
      </c>
      <c r="D43" s="500">
        <v>128</v>
      </c>
      <c r="E43" s="500" t="s">
        <v>992</v>
      </c>
      <c r="F43" s="500" t="s">
        <v>993</v>
      </c>
      <c r="G43" s="500">
        <v>0</v>
      </c>
      <c r="H43" s="500">
        <v>0</v>
      </c>
      <c r="I43" s="500">
        <v>0</v>
      </c>
    </row>
    <row r="44" spans="1:9" ht="25.5">
      <c r="A44" s="508">
        <v>33</v>
      </c>
      <c r="B44" s="480" t="s">
        <v>944</v>
      </c>
      <c r="C44" s="500">
        <v>0</v>
      </c>
      <c r="D44" s="500">
        <v>173</v>
      </c>
      <c r="E44" s="500" t="s">
        <v>992</v>
      </c>
      <c r="F44" s="500" t="s">
        <v>993</v>
      </c>
      <c r="G44" s="500">
        <v>0</v>
      </c>
      <c r="H44" s="500">
        <v>0</v>
      </c>
      <c r="I44" s="500">
        <v>0</v>
      </c>
    </row>
    <row r="45" spans="1:9" ht="25.5">
      <c r="A45" s="508">
        <v>34</v>
      </c>
      <c r="B45" s="480" t="s">
        <v>945</v>
      </c>
      <c r="C45" s="500">
        <v>0</v>
      </c>
      <c r="D45" s="500">
        <v>109</v>
      </c>
      <c r="E45" s="500" t="s">
        <v>992</v>
      </c>
      <c r="F45" s="500" t="s">
        <v>993</v>
      </c>
      <c r="G45" s="500">
        <v>0</v>
      </c>
      <c r="H45" s="500">
        <v>0</v>
      </c>
      <c r="I45" s="500">
        <v>0</v>
      </c>
    </row>
    <row r="46" spans="1:9">
      <c r="A46" s="835" t="s">
        <v>17</v>
      </c>
      <c r="B46" s="835"/>
      <c r="C46" s="507">
        <v>0</v>
      </c>
      <c r="D46" s="507">
        <f>D14+D16+D17+D19+D20+D24+D25+D27+D28+D30+D31+D35+D40+D41+D42+D43+D44+D45</f>
        <v>2696</v>
      </c>
      <c r="E46" s="507"/>
      <c r="F46" s="507"/>
      <c r="G46" s="507"/>
      <c r="H46" s="507"/>
      <c r="I46" s="507"/>
    </row>
    <row r="48" spans="1:9" ht="19.5" customHeight="1"/>
    <row r="49" spans="1:9">
      <c r="A49" s="803" t="s">
        <v>906</v>
      </c>
      <c r="B49" s="803"/>
      <c r="C49" s="803"/>
      <c r="G49" s="901" t="s">
        <v>12</v>
      </c>
      <c r="H49" s="901"/>
      <c r="I49" s="901"/>
    </row>
    <row r="50" spans="1:9" ht="12.75" customHeight="1">
      <c r="A50" s="804" t="s">
        <v>907</v>
      </c>
      <c r="B50" s="804"/>
      <c r="C50" s="804"/>
      <c r="G50" s="901" t="s">
        <v>13</v>
      </c>
      <c r="H50" s="901"/>
      <c r="I50" s="901"/>
    </row>
    <row r="51" spans="1:9" ht="12.75" customHeight="1">
      <c r="A51" s="804" t="s">
        <v>908</v>
      </c>
      <c r="B51" s="804"/>
      <c r="C51" s="804"/>
      <c r="G51" s="983" t="s">
        <v>87</v>
      </c>
      <c r="H51" s="983"/>
      <c r="I51" s="983"/>
    </row>
    <row r="52" spans="1:9">
      <c r="A52" s="99" t="s">
        <v>984</v>
      </c>
      <c r="B52" s="86"/>
      <c r="C52" s="86"/>
      <c r="G52" s="897" t="s">
        <v>84</v>
      </c>
      <c r="H52" s="897"/>
    </row>
    <row r="53" spans="1:9">
      <c r="A53" s="86"/>
      <c r="B53" s="86"/>
      <c r="C53" s="86"/>
      <c r="D53" s="86"/>
      <c r="E53" s="86"/>
    </row>
  </sheetData>
  <mergeCells count="23">
    <mergeCell ref="A51:C51"/>
    <mergeCell ref="G52:H52"/>
    <mergeCell ref="G50:I50"/>
    <mergeCell ref="G49:I49"/>
    <mergeCell ref="G51:I51"/>
    <mergeCell ref="A49:C49"/>
    <mergeCell ref="A50:C50"/>
    <mergeCell ref="I7:I10"/>
    <mergeCell ref="E8:E10"/>
    <mergeCell ref="F8:F10"/>
    <mergeCell ref="G8:G10"/>
    <mergeCell ref="A46:B46"/>
    <mergeCell ref="A7:A10"/>
    <mergeCell ref="B7:B10"/>
    <mergeCell ref="C7:C10"/>
    <mergeCell ref="D7:D10"/>
    <mergeCell ref="E7:G7"/>
    <mergeCell ref="H7:H10"/>
    <mergeCell ref="H1:I1"/>
    <mergeCell ref="C5:H5"/>
    <mergeCell ref="C2:G2"/>
    <mergeCell ref="B3:G3"/>
    <mergeCell ref="G6:I6"/>
  </mergeCells>
  <printOptions horizontalCentered="1"/>
  <pageMargins left="0.70866141732283472" right="0.70866141732283472" top="0.23622047244094491" bottom="0" header="0.31496062992125984" footer="0.31496062992125984"/>
  <pageSetup paperSize="9" scale="56" orientation="landscape" r:id="rId1"/>
</worksheet>
</file>

<file path=xl/worksheets/sheet32.xml><?xml version="1.0" encoding="utf-8"?>
<worksheet xmlns="http://schemas.openxmlformats.org/spreadsheetml/2006/main" xmlns:r="http://schemas.openxmlformats.org/officeDocument/2006/relationships">
  <sheetPr codeName="Sheet32">
    <pageSetUpPr fitToPage="1"/>
  </sheetPr>
  <dimension ref="A1:J49"/>
  <sheetViews>
    <sheetView view="pageBreakPreview" topLeftCell="A37" zoomScale="120" zoomScaleSheetLayoutView="120" workbookViewId="0">
      <selection activeCell="C42" sqref="C42:J42"/>
    </sheetView>
  </sheetViews>
  <sheetFormatPr defaultRowHeight="12.75"/>
  <cols>
    <col min="2" max="2" width="25.85546875" customWidth="1"/>
    <col min="6" max="6" width="12.140625" customWidth="1"/>
    <col min="7" max="7" width="15.140625" customWidth="1"/>
    <col min="8" max="8" width="20.28515625" customWidth="1"/>
    <col min="9" max="9" width="13.5703125" customWidth="1"/>
    <col min="10" max="10" width="22.85546875" customWidth="1"/>
  </cols>
  <sheetData>
    <row r="1" spans="1:10" ht="18">
      <c r="A1" s="911" t="s">
        <v>0</v>
      </c>
      <c r="B1" s="911"/>
      <c r="C1" s="911"/>
      <c r="D1" s="911"/>
      <c r="E1" s="911"/>
      <c r="F1" s="911"/>
      <c r="G1" s="911"/>
      <c r="H1" s="911"/>
      <c r="I1" s="227"/>
      <c r="J1" s="297" t="s">
        <v>551</v>
      </c>
    </row>
    <row r="2" spans="1:10" ht="21">
      <c r="A2" s="912" t="s">
        <v>745</v>
      </c>
      <c r="B2" s="912"/>
      <c r="C2" s="912"/>
      <c r="D2" s="912"/>
      <c r="E2" s="912"/>
      <c r="F2" s="912"/>
      <c r="G2" s="912"/>
      <c r="H2" s="912"/>
      <c r="I2" s="912"/>
      <c r="J2" s="912"/>
    </row>
    <row r="3" spans="1:10" ht="15">
      <c r="A3" s="197"/>
      <c r="B3" s="197"/>
      <c r="C3" s="197"/>
      <c r="D3" s="197"/>
      <c r="E3" s="197"/>
      <c r="F3" s="197"/>
      <c r="G3" s="197"/>
      <c r="H3" s="197"/>
      <c r="I3" s="197"/>
    </row>
    <row r="4" spans="1:10" ht="18">
      <c r="A4" s="911" t="s">
        <v>550</v>
      </c>
      <c r="B4" s="911"/>
      <c r="C4" s="911"/>
      <c r="D4" s="911"/>
      <c r="E4" s="911"/>
      <c r="F4" s="911"/>
      <c r="G4" s="911"/>
      <c r="H4" s="911"/>
      <c r="I4" s="911"/>
    </row>
    <row r="5" spans="1:10" ht="15">
      <c r="A5" s="198" t="s">
        <v>253</v>
      </c>
      <c r="B5" s="198"/>
      <c r="C5" s="198"/>
      <c r="D5" s="198"/>
      <c r="E5" s="198"/>
      <c r="F5" s="198"/>
      <c r="G5" s="198"/>
      <c r="H5" s="198"/>
      <c r="I5" s="984" t="s">
        <v>831</v>
      </c>
      <c r="J5" s="985"/>
    </row>
    <row r="6" spans="1:10" ht="25.5" customHeight="1">
      <c r="A6" s="988" t="s">
        <v>2</v>
      </c>
      <c r="B6" s="988" t="s">
        <v>392</v>
      </c>
      <c r="C6" s="834" t="s">
        <v>393</v>
      </c>
      <c r="D6" s="834"/>
      <c r="E6" s="834"/>
      <c r="F6" s="989" t="s">
        <v>396</v>
      </c>
      <c r="G6" s="990"/>
      <c r="H6" s="990"/>
      <c r="I6" s="991"/>
      <c r="J6" s="986" t="s">
        <v>400</v>
      </c>
    </row>
    <row r="7" spans="1:10" ht="63" customHeight="1">
      <c r="A7" s="988"/>
      <c r="B7" s="988"/>
      <c r="C7" s="5" t="s">
        <v>103</v>
      </c>
      <c r="D7" s="5" t="s">
        <v>394</v>
      </c>
      <c r="E7" s="5" t="s">
        <v>395</v>
      </c>
      <c r="F7" s="230" t="s">
        <v>397</v>
      </c>
      <c r="G7" s="230" t="s">
        <v>398</v>
      </c>
      <c r="H7" s="763" t="s">
        <v>399</v>
      </c>
      <c r="I7" s="230" t="s">
        <v>47</v>
      </c>
      <c r="J7" s="987"/>
    </row>
    <row r="8" spans="1:10" ht="15">
      <c r="A8" s="201" t="s">
        <v>260</v>
      </c>
      <c r="B8" s="201" t="s">
        <v>261</v>
      </c>
      <c r="C8" s="201" t="s">
        <v>262</v>
      </c>
      <c r="D8" s="201" t="s">
        <v>263</v>
      </c>
      <c r="E8" s="201" t="s">
        <v>264</v>
      </c>
      <c r="F8" s="201" t="s">
        <v>267</v>
      </c>
      <c r="G8" s="201" t="s">
        <v>286</v>
      </c>
      <c r="H8" s="201" t="s">
        <v>287</v>
      </c>
      <c r="I8" s="201" t="s">
        <v>288</v>
      </c>
      <c r="J8" s="201" t="s">
        <v>316</v>
      </c>
    </row>
    <row r="9" spans="1:10" ht="59.25" customHeight="1">
      <c r="A9" s="508">
        <v>1</v>
      </c>
      <c r="B9" s="480" t="s">
        <v>912</v>
      </c>
      <c r="C9" s="215">
        <v>0</v>
      </c>
      <c r="D9" s="215">
        <v>0</v>
      </c>
      <c r="E9" s="215">
        <v>838</v>
      </c>
      <c r="F9" s="215">
        <v>0</v>
      </c>
      <c r="G9" s="600" t="s">
        <v>1206</v>
      </c>
      <c r="H9" s="215" t="s">
        <v>1207</v>
      </c>
      <c r="I9" s="215">
        <v>0</v>
      </c>
      <c r="J9" s="215">
        <v>0</v>
      </c>
    </row>
    <row r="10" spans="1:10" ht="38.25">
      <c r="A10" s="508">
        <v>2</v>
      </c>
      <c r="B10" s="480" t="s">
        <v>913</v>
      </c>
      <c r="C10" s="201">
        <v>0</v>
      </c>
      <c r="D10" s="201">
        <v>0</v>
      </c>
      <c r="E10" s="201">
        <v>1308</v>
      </c>
      <c r="F10" s="201">
        <v>0</v>
      </c>
      <c r="G10" s="600" t="s">
        <v>1056</v>
      </c>
      <c r="H10" s="215" t="s">
        <v>1208</v>
      </c>
      <c r="I10" s="201">
        <v>0</v>
      </c>
      <c r="J10" s="201">
        <v>0</v>
      </c>
    </row>
    <row r="11" spans="1:10" ht="14.25">
      <c r="A11" s="508">
        <v>3</v>
      </c>
      <c r="B11" s="480" t="s">
        <v>914</v>
      </c>
      <c r="C11" s="604">
        <v>0</v>
      </c>
      <c r="D11" s="604">
        <v>0</v>
      </c>
      <c r="E11" s="604">
        <v>715</v>
      </c>
      <c r="F11" s="604">
        <v>150</v>
      </c>
      <c r="G11" s="604">
        <v>240</v>
      </c>
      <c r="H11" s="604">
        <v>255</v>
      </c>
      <c r="I11" s="604">
        <v>100</v>
      </c>
      <c r="J11" s="604">
        <v>0</v>
      </c>
    </row>
    <row r="12" spans="1:10" ht="35.25" customHeight="1">
      <c r="A12" s="508">
        <v>4</v>
      </c>
      <c r="B12" s="480" t="s">
        <v>915</v>
      </c>
      <c r="C12" s="604">
        <v>0</v>
      </c>
      <c r="D12" s="604">
        <v>0</v>
      </c>
      <c r="E12" s="604">
        <v>1523</v>
      </c>
      <c r="F12" s="604">
        <v>0</v>
      </c>
      <c r="G12" s="604">
        <v>0</v>
      </c>
      <c r="H12" s="604" t="s">
        <v>1020</v>
      </c>
      <c r="I12" s="604">
        <v>0</v>
      </c>
      <c r="J12" s="604">
        <v>0</v>
      </c>
    </row>
    <row r="13" spans="1:10" ht="14.25">
      <c r="A13" s="508">
        <v>5</v>
      </c>
      <c r="B13" s="480" t="s">
        <v>916</v>
      </c>
      <c r="C13" s="604">
        <v>0</v>
      </c>
      <c r="D13" s="604">
        <v>7</v>
      </c>
      <c r="E13" s="604">
        <v>1109</v>
      </c>
      <c r="F13" s="604">
        <v>952</v>
      </c>
      <c r="G13" s="604">
        <v>3</v>
      </c>
      <c r="H13" s="604">
        <v>171</v>
      </c>
      <c r="I13" s="604">
        <v>2</v>
      </c>
      <c r="J13" s="604">
        <f>0.05*100000</f>
        <v>5000</v>
      </c>
    </row>
    <row r="14" spans="1:10" ht="63.75">
      <c r="A14" s="508">
        <v>6</v>
      </c>
      <c r="B14" s="480" t="s">
        <v>917</v>
      </c>
      <c r="C14" s="604">
        <v>0</v>
      </c>
      <c r="D14" s="604">
        <v>3</v>
      </c>
      <c r="E14" s="604">
        <v>4</v>
      </c>
      <c r="F14" s="604">
        <v>3</v>
      </c>
      <c r="G14" s="604">
        <v>0</v>
      </c>
      <c r="H14" s="604" t="s">
        <v>1064</v>
      </c>
      <c r="I14" s="604">
        <v>0</v>
      </c>
      <c r="J14" s="604">
        <v>0</v>
      </c>
    </row>
    <row r="15" spans="1:10" ht="25.5">
      <c r="A15" s="508">
        <v>7</v>
      </c>
      <c r="B15" s="480" t="s">
        <v>918</v>
      </c>
      <c r="C15" s="604">
        <v>0</v>
      </c>
      <c r="D15" s="604">
        <v>0</v>
      </c>
      <c r="E15" s="604">
        <v>19</v>
      </c>
      <c r="F15" s="604">
        <v>346</v>
      </c>
      <c r="G15" s="604">
        <v>0</v>
      </c>
      <c r="H15" s="600" t="s">
        <v>1211</v>
      </c>
      <c r="I15" s="604">
        <v>0</v>
      </c>
      <c r="J15" s="604">
        <v>0</v>
      </c>
    </row>
    <row r="16" spans="1:10" ht="25.5">
      <c r="A16" s="508">
        <v>8</v>
      </c>
      <c r="B16" s="480" t="s">
        <v>919</v>
      </c>
      <c r="C16" s="604">
        <v>0</v>
      </c>
      <c r="D16" s="604">
        <v>0</v>
      </c>
      <c r="E16" s="604">
        <v>21</v>
      </c>
      <c r="F16" s="604">
        <v>134</v>
      </c>
      <c r="G16" s="600" t="s">
        <v>1212</v>
      </c>
      <c r="H16" s="604">
        <v>0</v>
      </c>
      <c r="I16" s="600" t="s">
        <v>1040</v>
      </c>
      <c r="J16" s="604">
        <v>43000</v>
      </c>
    </row>
    <row r="17" spans="1:10" ht="14.25">
      <c r="A17" s="508">
        <v>9</v>
      </c>
      <c r="B17" s="480" t="s">
        <v>920</v>
      </c>
      <c r="C17" s="604">
        <v>0</v>
      </c>
      <c r="D17" s="604">
        <v>0</v>
      </c>
      <c r="E17" s="604">
        <v>0</v>
      </c>
      <c r="F17" s="604">
        <v>0</v>
      </c>
      <c r="G17" s="604">
        <v>0</v>
      </c>
      <c r="H17" s="604">
        <v>0</v>
      </c>
      <c r="I17" s="604">
        <v>0</v>
      </c>
      <c r="J17" s="604">
        <v>0</v>
      </c>
    </row>
    <row r="18" spans="1:10" ht="66.75" customHeight="1">
      <c r="A18" s="508">
        <v>10</v>
      </c>
      <c r="B18" s="480" t="s">
        <v>921</v>
      </c>
      <c r="C18" s="604"/>
      <c r="D18" s="604"/>
      <c r="E18" s="604">
        <v>2423</v>
      </c>
      <c r="F18" s="604" t="s">
        <v>1049</v>
      </c>
      <c r="G18" s="604"/>
      <c r="H18" s="604" t="s">
        <v>1050</v>
      </c>
      <c r="I18" s="604">
        <v>0</v>
      </c>
      <c r="J18" s="604">
        <v>0</v>
      </c>
    </row>
    <row r="19" spans="1:10" ht="63.75">
      <c r="A19" s="508">
        <v>11</v>
      </c>
      <c r="B19" s="480" t="s">
        <v>922</v>
      </c>
      <c r="C19" s="604">
        <v>0</v>
      </c>
      <c r="D19" s="604">
        <v>1465</v>
      </c>
      <c r="E19" s="604">
        <v>1465</v>
      </c>
      <c r="F19" s="604" t="s">
        <v>1052</v>
      </c>
      <c r="G19" s="604"/>
      <c r="H19" s="604" t="s">
        <v>1053</v>
      </c>
      <c r="I19" s="604">
        <v>0</v>
      </c>
      <c r="J19" s="604">
        <v>0</v>
      </c>
    </row>
    <row r="20" spans="1:10" ht="63.75">
      <c r="A20" s="508">
        <v>12</v>
      </c>
      <c r="B20" s="480" t="s">
        <v>923</v>
      </c>
      <c r="C20" s="604">
        <v>0</v>
      </c>
      <c r="D20" s="604">
        <v>25</v>
      </c>
      <c r="E20" s="604">
        <v>0</v>
      </c>
      <c r="F20" s="604">
        <v>9</v>
      </c>
      <c r="G20" s="604">
        <v>9</v>
      </c>
      <c r="H20" s="604" t="s">
        <v>1046</v>
      </c>
      <c r="I20" s="604">
        <v>0</v>
      </c>
      <c r="J20" s="604">
        <v>0</v>
      </c>
    </row>
    <row r="21" spans="1:10" ht="31.5">
      <c r="A21" s="508">
        <v>13</v>
      </c>
      <c r="B21" s="480" t="s">
        <v>924</v>
      </c>
      <c r="C21" s="604">
        <v>0</v>
      </c>
      <c r="D21" s="604">
        <v>7</v>
      </c>
      <c r="E21" s="604">
        <v>182</v>
      </c>
      <c r="F21" s="598" t="s">
        <v>397</v>
      </c>
      <c r="G21" s="604">
        <v>0</v>
      </c>
      <c r="H21" s="604" t="s">
        <v>1026</v>
      </c>
      <c r="I21" s="604">
        <v>0</v>
      </c>
      <c r="J21" s="604">
        <v>0</v>
      </c>
    </row>
    <row r="22" spans="1:10" ht="51">
      <c r="A22" s="508">
        <v>14</v>
      </c>
      <c r="B22" s="480" t="s">
        <v>925</v>
      </c>
      <c r="C22" s="604">
        <v>0</v>
      </c>
      <c r="D22" s="600">
        <v>4</v>
      </c>
      <c r="E22" s="600" t="s">
        <v>1055</v>
      </c>
      <c r="F22" s="540"/>
      <c r="G22" s="540" t="s">
        <v>1056</v>
      </c>
      <c r="H22" s="600" t="s">
        <v>1057</v>
      </c>
      <c r="I22" s="540"/>
      <c r="J22" s="604">
        <f>25000</f>
        <v>25000</v>
      </c>
    </row>
    <row r="23" spans="1:10" ht="14.25">
      <c r="A23" s="508">
        <v>15</v>
      </c>
      <c r="B23" s="480" t="s">
        <v>926</v>
      </c>
      <c r="C23" s="604"/>
      <c r="D23" s="604"/>
      <c r="E23" s="604"/>
      <c r="F23" s="604"/>
      <c r="G23" s="604"/>
      <c r="H23" s="604"/>
      <c r="I23" s="604"/>
      <c r="J23" s="604"/>
    </row>
    <row r="24" spans="1:10" ht="47.25" customHeight="1">
      <c r="A24" s="508">
        <v>16</v>
      </c>
      <c r="B24" s="480" t="s">
        <v>927</v>
      </c>
      <c r="C24" s="604">
        <v>0</v>
      </c>
      <c r="D24" s="604">
        <v>0</v>
      </c>
      <c r="E24" s="604">
        <v>594</v>
      </c>
      <c r="F24" s="604">
        <v>0</v>
      </c>
      <c r="G24" s="604">
        <v>0</v>
      </c>
      <c r="H24" s="604" t="s">
        <v>1042</v>
      </c>
      <c r="I24" s="604">
        <v>0</v>
      </c>
      <c r="J24" s="604">
        <v>0</v>
      </c>
    </row>
    <row r="25" spans="1:10" ht="14.25">
      <c r="A25" s="508">
        <v>17</v>
      </c>
      <c r="B25" s="480" t="s">
        <v>928</v>
      </c>
      <c r="C25" s="604">
        <v>8</v>
      </c>
      <c r="D25" s="604">
        <v>13</v>
      </c>
      <c r="E25" s="604">
        <v>93</v>
      </c>
      <c r="F25" s="604">
        <v>5</v>
      </c>
      <c r="G25" s="604">
        <v>74</v>
      </c>
      <c r="H25" s="604">
        <v>27</v>
      </c>
      <c r="I25" s="604">
        <v>6</v>
      </c>
      <c r="J25" s="604">
        <v>0</v>
      </c>
    </row>
    <row r="26" spans="1:10" ht="14.25" customHeight="1">
      <c r="A26" s="509">
        <v>18</v>
      </c>
      <c r="B26" s="481" t="s">
        <v>929</v>
      </c>
      <c r="C26" s="602" t="s">
        <v>1059</v>
      </c>
      <c r="D26" s="603" t="s">
        <v>1060</v>
      </c>
      <c r="E26" s="604">
        <v>0</v>
      </c>
      <c r="F26" s="604">
        <v>0</v>
      </c>
      <c r="G26" s="603" t="s">
        <v>1061</v>
      </c>
      <c r="H26" s="604">
        <v>0</v>
      </c>
      <c r="I26" s="604">
        <v>0</v>
      </c>
      <c r="J26" s="604">
        <f>50000</f>
        <v>50000</v>
      </c>
    </row>
    <row r="27" spans="1:10" ht="89.25">
      <c r="A27" s="508">
        <v>19</v>
      </c>
      <c r="B27" s="480" t="s">
        <v>930</v>
      </c>
      <c r="C27" s="604">
        <v>0</v>
      </c>
      <c r="D27" s="604">
        <v>3</v>
      </c>
      <c r="E27" s="604">
        <v>751</v>
      </c>
      <c r="F27" s="604">
        <v>0</v>
      </c>
      <c r="G27" s="604"/>
      <c r="H27" s="604" t="s">
        <v>1031</v>
      </c>
      <c r="I27" s="604" t="s">
        <v>1032</v>
      </c>
      <c r="J27" s="604"/>
    </row>
    <row r="28" spans="1:10" ht="14.25" customHeight="1">
      <c r="A28" s="509">
        <v>20</v>
      </c>
      <c r="B28" s="481" t="s">
        <v>931</v>
      </c>
      <c r="C28" s="604">
        <v>0</v>
      </c>
      <c r="D28" s="604">
        <v>0</v>
      </c>
      <c r="E28" s="604">
        <v>0</v>
      </c>
      <c r="F28" s="604">
        <v>0</v>
      </c>
      <c r="G28" s="604">
        <v>0</v>
      </c>
      <c r="H28" s="604">
        <v>0</v>
      </c>
      <c r="I28" s="604">
        <v>0</v>
      </c>
      <c r="J28" s="604">
        <v>0</v>
      </c>
    </row>
    <row r="29" spans="1:10" ht="14.25" customHeight="1">
      <c r="A29" s="508">
        <v>21</v>
      </c>
      <c r="B29" s="480" t="s">
        <v>932</v>
      </c>
      <c r="C29" s="604">
        <v>0</v>
      </c>
      <c r="D29" s="604">
        <v>0</v>
      </c>
      <c r="E29" s="604">
        <v>6</v>
      </c>
      <c r="F29" s="604">
        <v>0</v>
      </c>
      <c r="G29" s="604">
        <v>6</v>
      </c>
      <c r="H29" s="604">
        <v>0</v>
      </c>
      <c r="I29" s="604">
        <v>0</v>
      </c>
      <c r="J29" s="604">
        <v>0</v>
      </c>
    </row>
    <row r="30" spans="1:10" ht="14.25" customHeight="1">
      <c r="A30" s="508">
        <v>22</v>
      </c>
      <c r="B30" s="480" t="s">
        <v>933</v>
      </c>
      <c r="C30" s="604">
        <v>0</v>
      </c>
      <c r="D30" s="604">
        <v>6</v>
      </c>
      <c r="E30" s="604">
        <v>841</v>
      </c>
      <c r="F30" s="604">
        <v>0</v>
      </c>
      <c r="G30" s="604">
        <v>18</v>
      </c>
      <c r="H30" s="604">
        <v>150</v>
      </c>
      <c r="I30" s="604">
        <v>8</v>
      </c>
      <c r="J30" s="604">
        <v>0</v>
      </c>
    </row>
    <row r="31" spans="1:10" ht="14.25">
      <c r="A31" s="508">
        <v>23</v>
      </c>
      <c r="B31" s="480" t="s">
        <v>934</v>
      </c>
      <c r="C31" s="604">
        <v>0</v>
      </c>
      <c r="D31" s="604">
        <v>0</v>
      </c>
      <c r="E31" s="604">
        <v>0</v>
      </c>
      <c r="F31" s="604">
        <v>0</v>
      </c>
      <c r="G31" s="604">
        <v>0</v>
      </c>
      <c r="H31" s="604">
        <v>0</v>
      </c>
      <c r="I31" s="604">
        <v>0</v>
      </c>
      <c r="J31" s="604">
        <v>0</v>
      </c>
    </row>
    <row r="32" spans="1:10" ht="14.25">
      <c r="A32" s="508">
        <v>24</v>
      </c>
      <c r="B32" s="480" t="s">
        <v>935</v>
      </c>
      <c r="C32" s="604">
        <v>0</v>
      </c>
      <c r="D32" s="604">
        <v>10</v>
      </c>
      <c r="E32" s="604">
        <v>844</v>
      </c>
      <c r="F32" s="604">
        <v>0</v>
      </c>
      <c r="G32" s="604">
        <v>844</v>
      </c>
      <c r="H32" s="604">
        <v>338</v>
      </c>
      <c r="I32" s="604" t="s">
        <v>1040</v>
      </c>
      <c r="J32" s="604">
        <f>0.85*100000</f>
        <v>85000</v>
      </c>
    </row>
    <row r="33" spans="1:10" ht="14.25">
      <c r="A33" s="508">
        <v>25</v>
      </c>
      <c r="B33" s="480" t="s">
        <v>936</v>
      </c>
      <c r="C33" s="604"/>
      <c r="D33" s="604">
        <v>10</v>
      </c>
      <c r="E33" s="604">
        <v>1783</v>
      </c>
      <c r="F33" s="604">
        <v>0</v>
      </c>
      <c r="G33" s="604">
        <v>1783</v>
      </c>
      <c r="H33" s="604">
        <v>856</v>
      </c>
      <c r="I33" s="9" t="s">
        <v>1040</v>
      </c>
      <c r="J33" s="604"/>
    </row>
    <row r="34" spans="1:10" ht="14.25">
      <c r="A34" s="508">
        <v>26</v>
      </c>
      <c r="B34" s="480" t="s">
        <v>937</v>
      </c>
      <c r="C34" s="604"/>
      <c r="D34" s="604">
        <v>16</v>
      </c>
      <c r="E34" s="604">
        <v>2245</v>
      </c>
      <c r="F34" s="604">
        <v>0</v>
      </c>
      <c r="G34" s="604">
        <v>2245</v>
      </c>
      <c r="H34" s="604">
        <v>1033</v>
      </c>
      <c r="I34" s="604" t="s">
        <v>1040</v>
      </c>
      <c r="J34" s="604">
        <v>0</v>
      </c>
    </row>
    <row r="35" spans="1:10" ht="14.25">
      <c r="A35" s="508">
        <v>27</v>
      </c>
      <c r="B35" s="480" t="s">
        <v>938</v>
      </c>
      <c r="C35" s="604">
        <v>0</v>
      </c>
      <c r="D35" s="604">
        <v>0</v>
      </c>
      <c r="E35" s="604">
        <v>0</v>
      </c>
      <c r="F35" s="604">
        <v>0</v>
      </c>
      <c r="G35" s="604">
        <v>0</v>
      </c>
      <c r="H35" s="604">
        <v>0</v>
      </c>
      <c r="I35" s="604">
        <v>0</v>
      </c>
      <c r="J35" s="604">
        <v>0</v>
      </c>
    </row>
    <row r="36" spans="1:10" ht="31.5">
      <c r="A36" s="508">
        <v>28</v>
      </c>
      <c r="B36" s="480" t="s">
        <v>939</v>
      </c>
      <c r="C36" s="604">
        <v>0</v>
      </c>
      <c r="D36" s="604">
        <v>0</v>
      </c>
      <c r="E36" s="604">
        <v>0</v>
      </c>
      <c r="F36" s="604">
        <v>0</v>
      </c>
      <c r="G36" s="604">
        <v>0</v>
      </c>
      <c r="H36" s="598" t="s">
        <v>1017</v>
      </c>
      <c r="I36" s="604">
        <v>0</v>
      </c>
      <c r="J36" s="604">
        <f>120000</f>
        <v>120000</v>
      </c>
    </row>
    <row r="37" spans="1:10" ht="38.25">
      <c r="A37" s="508">
        <v>29</v>
      </c>
      <c r="B37" s="480" t="s">
        <v>940</v>
      </c>
      <c r="C37" s="604">
        <v>0</v>
      </c>
      <c r="D37" s="604">
        <v>4</v>
      </c>
      <c r="E37" s="604">
        <v>97</v>
      </c>
      <c r="F37" s="604">
        <v>421</v>
      </c>
      <c r="G37" s="604">
        <v>1642</v>
      </c>
      <c r="H37" s="600" t="s">
        <v>1213</v>
      </c>
      <c r="I37" s="604">
        <v>0</v>
      </c>
      <c r="J37" s="604">
        <v>13000</v>
      </c>
    </row>
    <row r="38" spans="1:10" ht="14.25">
      <c r="A38" s="508">
        <v>30</v>
      </c>
      <c r="B38" s="480" t="s">
        <v>941</v>
      </c>
      <c r="C38" s="604">
        <v>0</v>
      </c>
      <c r="D38" s="604">
        <v>0</v>
      </c>
      <c r="E38" s="604">
        <v>0</v>
      </c>
      <c r="F38" s="604">
        <v>0</v>
      </c>
      <c r="G38" s="604">
        <v>0</v>
      </c>
      <c r="H38" s="604">
        <v>0</v>
      </c>
      <c r="I38" s="604">
        <v>0</v>
      </c>
      <c r="J38" s="604">
        <v>0</v>
      </c>
    </row>
    <row r="39" spans="1:10" ht="14.25">
      <c r="A39" s="508">
        <v>31</v>
      </c>
      <c r="B39" s="480" t="s">
        <v>942</v>
      </c>
      <c r="C39" s="604">
        <v>0</v>
      </c>
      <c r="D39" s="604">
        <v>0</v>
      </c>
      <c r="E39" s="604">
        <v>0</v>
      </c>
      <c r="F39" s="604">
        <v>0</v>
      </c>
      <c r="G39" s="604">
        <v>0</v>
      </c>
      <c r="H39" s="604">
        <v>0</v>
      </c>
      <c r="I39" s="604">
        <v>0</v>
      </c>
      <c r="J39" s="604">
        <v>0</v>
      </c>
    </row>
    <row r="40" spans="1:10" ht="25.5">
      <c r="A40" s="508">
        <v>32</v>
      </c>
      <c r="B40" s="480" t="s">
        <v>943</v>
      </c>
      <c r="C40" s="604">
        <v>0</v>
      </c>
      <c r="D40" s="604">
        <v>19</v>
      </c>
      <c r="E40" s="604">
        <v>104</v>
      </c>
      <c r="F40" s="604">
        <v>0</v>
      </c>
      <c r="G40" s="604">
        <v>0</v>
      </c>
      <c r="H40" s="604" t="s">
        <v>1021</v>
      </c>
      <c r="I40" s="604">
        <v>0</v>
      </c>
      <c r="J40" s="604">
        <f>2.312*100000</f>
        <v>231199.99999999997</v>
      </c>
    </row>
    <row r="41" spans="1:10" ht="37.5" customHeight="1">
      <c r="A41" s="508">
        <v>33</v>
      </c>
      <c r="B41" s="480" t="s">
        <v>944</v>
      </c>
      <c r="C41" s="604">
        <v>0</v>
      </c>
      <c r="D41" s="604">
        <v>0</v>
      </c>
      <c r="E41" s="604">
        <v>1720</v>
      </c>
      <c r="F41" s="604">
        <v>0</v>
      </c>
      <c r="G41" s="604">
        <v>0</v>
      </c>
      <c r="H41" s="604" t="s">
        <v>1034</v>
      </c>
      <c r="I41" s="604">
        <v>0</v>
      </c>
      <c r="J41" s="604">
        <f>2.89*100000</f>
        <v>289000</v>
      </c>
    </row>
    <row r="42" spans="1:10" ht="38.25" customHeight="1">
      <c r="A42" s="508">
        <v>34</v>
      </c>
      <c r="B42" s="480" t="s">
        <v>945</v>
      </c>
      <c r="C42" s="604">
        <v>0</v>
      </c>
      <c r="D42" s="604">
        <v>0</v>
      </c>
      <c r="E42" s="540">
        <v>1099</v>
      </c>
      <c r="F42" s="604">
        <v>0</v>
      </c>
      <c r="G42" s="604">
        <v>0</v>
      </c>
      <c r="H42" s="604" t="s">
        <v>1044</v>
      </c>
      <c r="I42" s="604">
        <v>0</v>
      </c>
      <c r="J42" s="604">
        <v>0</v>
      </c>
    </row>
    <row r="43" spans="1:10">
      <c r="A43" s="27" t="s">
        <v>17</v>
      </c>
      <c r="B43" s="9"/>
      <c r="C43" s="593">
        <f>SUM(C9:C42)</f>
        <v>8</v>
      </c>
      <c r="D43" s="593">
        <f t="shared" ref="D43:J43" si="0">SUM(D9:D42)</f>
        <v>1592</v>
      </c>
      <c r="E43" s="593">
        <f t="shared" si="0"/>
        <v>19784</v>
      </c>
      <c r="F43" s="593">
        <f t="shared" si="0"/>
        <v>2020</v>
      </c>
      <c r="G43" s="593">
        <f t="shared" si="0"/>
        <v>6864</v>
      </c>
      <c r="H43" s="593">
        <f t="shared" si="0"/>
        <v>2830</v>
      </c>
      <c r="I43" s="593">
        <f t="shared" si="0"/>
        <v>116</v>
      </c>
      <c r="J43" s="593">
        <f t="shared" si="0"/>
        <v>861200</v>
      </c>
    </row>
    <row r="46" spans="1:10" ht="12.75" customHeight="1">
      <c r="A46" s="204"/>
      <c r="B46" s="803" t="s">
        <v>906</v>
      </c>
      <c r="C46" s="803"/>
      <c r="D46" s="803"/>
      <c r="I46" s="901" t="s">
        <v>12</v>
      </c>
      <c r="J46" s="901"/>
    </row>
    <row r="47" spans="1:10" ht="12.75" customHeight="1">
      <c r="A47" s="204"/>
      <c r="B47" s="804" t="s">
        <v>907</v>
      </c>
      <c r="C47" s="804"/>
      <c r="D47" s="804"/>
      <c r="I47" s="901" t="s">
        <v>13</v>
      </c>
      <c r="J47" s="901"/>
    </row>
    <row r="48" spans="1:10" ht="12.75" customHeight="1">
      <c r="A48" s="204"/>
      <c r="B48" s="804" t="s">
        <v>908</v>
      </c>
      <c r="C48" s="804"/>
      <c r="D48" s="804"/>
      <c r="I48" s="901" t="s">
        <v>87</v>
      </c>
      <c r="J48" s="901"/>
    </row>
    <row r="49" spans="1:10">
      <c r="A49" s="204" t="s">
        <v>11</v>
      </c>
      <c r="C49" s="204"/>
      <c r="D49" s="204"/>
      <c r="J49" s="206" t="s">
        <v>84</v>
      </c>
    </row>
  </sheetData>
  <mergeCells count="15">
    <mergeCell ref="I48:J48"/>
    <mergeCell ref="I5:J5"/>
    <mergeCell ref="J6:J7"/>
    <mergeCell ref="A1:H1"/>
    <mergeCell ref="I46:J46"/>
    <mergeCell ref="I47:J47"/>
    <mergeCell ref="A2:J2"/>
    <mergeCell ref="A4:I4"/>
    <mergeCell ref="A6:A7"/>
    <mergeCell ref="B6:B7"/>
    <mergeCell ref="C6:E6"/>
    <mergeCell ref="F6:I6"/>
    <mergeCell ref="B46:D46"/>
    <mergeCell ref="B47:D47"/>
    <mergeCell ref="B48:D48"/>
  </mergeCells>
  <printOptions horizontalCentered="1"/>
  <pageMargins left="0.70866141732283472" right="0.70866141732283472" top="0.23622047244094491" bottom="0" header="0.31496062992125984" footer="0.31496062992125984"/>
  <pageSetup paperSize="9" scale="44" orientation="landscape" r:id="rId1"/>
</worksheet>
</file>

<file path=xl/worksheets/sheet33.xml><?xml version="1.0" encoding="utf-8"?>
<worksheet xmlns="http://schemas.openxmlformats.org/spreadsheetml/2006/main" xmlns:r="http://schemas.openxmlformats.org/officeDocument/2006/relationships">
  <sheetPr codeName="Sheet33">
    <pageSetUpPr fitToPage="1"/>
  </sheetPr>
  <dimension ref="A1:I36"/>
  <sheetViews>
    <sheetView topLeftCell="A25" zoomScaleSheetLayoutView="80" workbookViewId="0">
      <selection activeCell="A32" sqref="A32:C34"/>
    </sheetView>
  </sheetViews>
  <sheetFormatPr defaultRowHeight="12.75"/>
  <cols>
    <col min="1" max="1" width="5.28515625" style="204" customWidth="1"/>
    <col min="2" max="2" width="8.5703125" style="204" customWidth="1"/>
    <col min="3" max="3" width="39.85546875" style="204" bestFit="1" customWidth="1"/>
    <col min="4" max="4" width="15.140625" style="204" customWidth="1"/>
    <col min="5" max="6" width="11.7109375" style="204" customWidth="1"/>
    <col min="7" max="7" width="13.7109375" style="204" customWidth="1"/>
    <col min="8" max="8" width="20.140625" style="204" customWidth="1"/>
    <col min="9" max="16384" width="9.140625" style="204"/>
  </cols>
  <sheetData>
    <row r="1" spans="1:8">
      <c r="A1" s="204" t="s">
        <v>10</v>
      </c>
      <c r="H1" s="220" t="s">
        <v>553</v>
      </c>
    </row>
    <row r="2" spans="1:8" s="208" customFormat="1" ht="15.75">
      <c r="A2" s="932" t="s">
        <v>0</v>
      </c>
      <c r="B2" s="932"/>
      <c r="C2" s="932"/>
      <c r="D2" s="932"/>
      <c r="E2" s="932"/>
      <c r="F2" s="932"/>
      <c r="G2" s="932"/>
      <c r="H2" s="932"/>
    </row>
    <row r="3" spans="1:8" s="208" customFormat="1" ht="20.25" customHeight="1">
      <c r="A3" s="933" t="s">
        <v>745</v>
      </c>
      <c r="B3" s="933"/>
      <c r="C3" s="933"/>
      <c r="D3" s="933"/>
      <c r="E3" s="933"/>
      <c r="F3" s="933"/>
      <c r="G3" s="933"/>
      <c r="H3" s="933"/>
    </row>
    <row r="5" spans="1:8" s="208" customFormat="1" ht="15.75">
      <c r="A5" s="1000" t="s">
        <v>552</v>
      </c>
      <c r="B5" s="1000"/>
      <c r="C5" s="1000"/>
      <c r="D5" s="1000"/>
      <c r="E5" s="1000"/>
      <c r="F5" s="1000"/>
      <c r="G5" s="1000"/>
      <c r="H5" s="1001"/>
    </row>
    <row r="7" spans="1:8">
      <c r="A7" s="1002" t="s">
        <v>162</v>
      </c>
      <c r="B7" s="1002"/>
      <c r="C7" s="210" t="s">
        <v>995</v>
      </c>
      <c r="D7" s="211"/>
      <c r="E7" s="211"/>
      <c r="F7" s="211"/>
      <c r="G7" s="211"/>
    </row>
    <row r="9" spans="1:8" ht="13.9" customHeight="1">
      <c r="A9" s="221"/>
      <c r="B9" s="221"/>
      <c r="C9" s="221"/>
      <c r="D9" s="221"/>
      <c r="E9" s="221"/>
      <c r="F9" s="221"/>
      <c r="G9" s="221"/>
    </row>
    <row r="10" spans="1:8" s="212" customFormat="1">
      <c r="A10" s="204"/>
      <c r="B10" s="204"/>
      <c r="C10" s="204"/>
      <c r="D10" s="204"/>
      <c r="E10" s="204"/>
      <c r="F10" s="204"/>
      <c r="G10" s="914" t="s">
        <v>831</v>
      </c>
      <c r="H10" s="914"/>
    </row>
    <row r="11" spans="1:8" s="212" customFormat="1" ht="39.75" customHeight="1">
      <c r="A11" s="213"/>
      <c r="B11" s="992" t="s">
        <v>280</v>
      </c>
      <c r="C11" s="992" t="s">
        <v>281</v>
      </c>
      <c r="D11" s="1003" t="s">
        <v>282</v>
      </c>
      <c r="E11" s="1004"/>
      <c r="F11" s="1004"/>
      <c r="G11" s="1005"/>
      <c r="H11" s="992" t="s">
        <v>78</v>
      </c>
    </row>
    <row r="12" spans="1:8" s="212" customFormat="1" ht="25.5">
      <c r="A12" s="214"/>
      <c r="B12" s="993"/>
      <c r="C12" s="993"/>
      <c r="D12" s="498" t="s">
        <v>283</v>
      </c>
      <c r="E12" s="498" t="s">
        <v>284</v>
      </c>
      <c r="F12" s="498" t="s">
        <v>285</v>
      </c>
      <c r="G12" s="498" t="s">
        <v>17</v>
      </c>
      <c r="H12" s="993"/>
    </row>
    <row r="13" spans="1:8" s="212" customFormat="1" ht="15">
      <c r="A13" s="214"/>
      <c r="B13" s="222" t="s">
        <v>260</v>
      </c>
      <c r="C13" s="222" t="s">
        <v>261</v>
      </c>
      <c r="D13" s="222" t="s">
        <v>262</v>
      </c>
      <c r="E13" s="222" t="s">
        <v>263</v>
      </c>
      <c r="F13" s="222" t="s">
        <v>264</v>
      </c>
      <c r="G13" s="222" t="s">
        <v>265</v>
      </c>
      <c r="H13" s="222" t="s">
        <v>266</v>
      </c>
    </row>
    <row r="14" spans="1:8" s="223" customFormat="1" ht="15" customHeight="1">
      <c r="B14" s="224" t="s">
        <v>29</v>
      </c>
      <c r="C14" s="994" t="s">
        <v>289</v>
      </c>
      <c r="D14" s="995"/>
      <c r="E14" s="995"/>
      <c r="F14" s="995"/>
      <c r="G14" s="995"/>
      <c r="H14" s="996"/>
    </row>
    <row r="15" spans="1:8" s="226" customFormat="1" ht="31.5">
      <c r="B15" s="225"/>
      <c r="C15" s="766" t="s">
        <v>1203</v>
      </c>
      <c r="D15" s="511">
        <v>3</v>
      </c>
      <c r="E15" s="511">
        <v>29</v>
      </c>
      <c r="F15" s="511">
        <v>0</v>
      </c>
      <c r="G15" s="511">
        <f>SUM(D15:F15)</f>
        <v>32</v>
      </c>
      <c r="H15" s="512"/>
    </row>
    <row r="16" spans="1:8" ht="31.5">
      <c r="A16" s="217"/>
      <c r="B16" s="144"/>
      <c r="C16" s="767" t="s">
        <v>1204</v>
      </c>
      <c r="D16" s="511">
        <v>3</v>
      </c>
      <c r="E16" s="511">
        <v>0</v>
      </c>
      <c r="F16" s="511">
        <v>177</v>
      </c>
      <c r="G16" s="511">
        <f t="shared" ref="G16:G18" si="0">SUM(D16:F16)</f>
        <v>180</v>
      </c>
      <c r="H16" s="514"/>
    </row>
    <row r="17" spans="1:9" ht="15.75">
      <c r="B17" s="216"/>
      <c r="C17" s="513" t="s">
        <v>1205</v>
      </c>
      <c r="D17" s="511">
        <v>11</v>
      </c>
      <c r="E17" s="511">
        <v>36</v>
      </c>
      <c r="F17" s="511">
        <v>177</v>
      </c>
      <c r="G17" s="511">
        <f t="shared" si="0"/>
        <v>224</v>
      </c>
      <c r="H17" s="514"/>
    </row>
    <row r="18" spans="1:9" s="140" customFormat="1" ht="15.75">
      <c r="B18" s="144"/>
      <c r="C18" s="513" t="s">
        <v>1202</v>
      </c>
      <c r="D18" s="511">
        <v>7</v>
      </c>
      <c r="E18" s="511">
        <v>0</v>
      </c>
      <c r="F18" s="511">
        <v>0</v>
      </c>
      <c r="G18" s="511">
        <f t="shared" si="0"/>
        <v>7</v>
      </c>
      <c r="H18" s="511"/>
    </row>
    <row r="19" spans="1:9" s="140" customFormat="1" ht="15.75">
      <c r="B19" s="144"/>
      <c r="C19" s="513" t="s">
        <v>17</v>
      </c>
      <c r="D19" s="514">
        <f>SUM(D15:D18)</f>
        <v>24</v>
      </c>
      <c r="E19" s="514">
        <f>SUM(E15:E18)</f>
        <v>65</v>
      </c>
      <c r="F19" s="514">
        <f t="shared" ref="F19:G19" si="1">SUM(F15:F18)</f>
        <v>354</v>
      </c>
      <c r="G19" s="514">
        <f t="shared" si="1"/>
        <v>443</v>
      </c>
      <c r="H19" s="511"/>
    </row>
    <row r="20" spans="1:9" s="140" customFormat="1" ht="15.75">
      <c r="B20" s="144"/>
      <c r="C20" s="513"/>
      <c r="D20" s="514"/>
      <c r="E20" s="514"/>
      <c r="F20" s="514"/>
      <c r="G20" s="514"/>
      <c r="H20" s="511"/>
    </row>
    <row r="21" spans="1:9" s="140" customFormat="1" ht="21.75" customHeight="1">
      <c r="B21" s="224" t="s">
        <v>33</v>
      </c>
      <c r="C21" s="997" t="s">
        <v>464</v>
      </c>
      <c r="D21" s="998"/>
      <c r="E21" s="998"/>
      <c r="F21" s="998"/>
      <c r="G21" s="998"/>
      <c r="H21" s="999"/>
    </row>
    <row r="22" spans="1:9" s="140" customFormat="1" ht="15.75">
      <c r="A22" s="219" t="s">
        <v>279</v>
      </c>
      <c r="B22" s="218"/>
      <c r="C22" s="510">
        <v>1</v>
      </c>
      <c r="D22" s="515">
        <v>0</v>
      </c>
      <c r="E22" s="515">
        <v>30</v>
      </c>
      <c r="F22" s="515">
        <v>0</v>
      </c>
      <c r="G22" s="515">
        <v>30</v>
      </c>
      <c r="H22" s="515">
        <v>0</v>
      </c>
    </row>
    <row r="23" spans="1:9" ht="15.75">
      <c r="B23" s="144"/>
      <c r="C23" s="513">
        <v>2</v>
      </c>
      <c r="D23" s="515">
        <v>0</v>
      </c>
      <c r="E23" s="515">
        <v>0</v>
      </c>
      <c r="F23" s="515">
        <v>0</v>
      </c>
      <c r="G23" s="515">
        <v>0</v>
      </c>
      <c r="H23" s="515">
        <v>0</v>
      </c>
    </row>
    <row r="24" spans="1:9" ht="15.75">
      <c r="B24" s="144"/>
      <c r="C24" s="513">
        <v>3</v>
      </c>
      <c r="D24" s="515">
        <v>0</v>
      </c>
      <c r="E24" s="515">
        <v>0</v>
      </c>
      <c r="F24" s="515">
        <v>0</v>
      </c>
      <c r="G24" s="515">
        <v>0</v>
      </c>
      <c r="H24" s="515">
        <v>0</v>
      </c>
    </row>
    <row r="25" spans="1:9" ht="15.75">
      <c r="B25" s="144"/>
      <c r="C25" s="513">
        <v>4</v>
      </c>
      <c r="D25" s="515">
        <v>0</v>
      </c>
      <c r="E25" s="515">
        <v>0</v>
      </c>
      <c r="F25" s="515">
        <v>0</v>
      </c>
      <c r="G25" s="515">
        <v>0</v>
      </c>
      <c r="H25" s="515">
        <v>0</v>
      </c>
    </row>
    <row r="26" spans="1:9" ht="15.75">
      <c r="B26" s="144"/>
      <c r="C26" s="513" t="s">
        <v>994</v>
      </c>
      <c r="D26" s="515">
        <v>0</v>
      </c>
      <c r="E26" s="765">
        <v>30</v>
      </c>
      <c r="F26" s="765">
        <v>30</v>
      </c>
      <c r="G26" s="765">
        <v>30</v>
      </c>
      <c r="H26" s="515">
        <v>0</v>
      </c>
    </row>
    <row r="27" spans="1:9" ht="15.75">
      <c r="B27" s="144"/>
      <c r="C27" s="516" t="s">
        <v>141</v>
      </c>
      <c r="D27" s="512">
        <f>D26+D19</f>
        <v>24</v>
      </c>
      <c r="E27" s="512">
        <f t="shared" ref="E27:G27" si="2">E26+E19</f>
        <v>95</v>
      </c>
      <c r="F27" s="512">
        <f t="shared" si="2"/>
        <v>384</v>
      </c>
      <c r="G27" s="512">
        <f t="shared" si="2"/>
        <v>473</v>
      </c>
      <c r="H27" s="514"/>
    </row>
    <row r="31" spans="1:9">
      <c r="A31"/>
      <c r="B31"/>
      <c r="C31"/>
      <c r="D31"/>
      <c r="E31"/>
      <c r="F31"/>
      <c r="G31"/>
      <c r="H31"/>
      <c r="I31"/>
    </row>
    <row r="32" spans="1:9">
      <c r="A32" s="803" t="s">
        <v>906</v>
      </c>
      <c r="B32" s="803"/>
      <c r="C32" s="803"/>
      <c r="D32"/>
      <c r="E32"/>
      <c r="F32"/>
      <c r="G32" s="901" t="s">
        <v>12</v>
      </c>
      <c r="H32" s="901"/>
      <c r="I32" s="901"/>
    </row>
    <row r="33" spans="1:9">
      <c r="A33" s="804" t="s">
        <v>907</v>
      </c>
      <c r="B33" s="804"/>
      <c r="C33" s="804"/>
      <c r="D33"/>
      <c r="E33"/>
      <c r="F33"/>
      <c r="G33" s="901" t="s">
        <v>13</v>
      </c>
      <c r="H33" s="901"/>
      <c r="I33" s="901"/>
    </row>
    <row r="34" spans="1:9">
      <c r="A34" s="804" t="s">
        <v>908</v>
      </c>
      <c r="B34" s="804"/>
      <c r="C34" s="804"/>
      <c r="D34"/>
      <c r="E34"/>
      <c r="F34"/>
      <c r="G34" s="983" t="s">
        <v>87</v>
      </c>
      <c r="H34" s="983"/>
      <c r="I34" s="983"/>
    </row>
    <row r="35" spans="1:9">
      <c r="A35" s="99" t="s">
        <v>984</v>
      </c>
      <c r="B35" s="86"/>
      <c r="C35" s="86"/>
      <c r="D35"/>
      <c r="E35"/>
      <c r="F35"/>
      <c r="G35" s="897" t="s">
        <v>84</v>
      </c>
      <c r="H35" s="897"/>
      <c r="I35"/>
    </row>
    <row r="36" spans="1:9">
      <c r="A36" s="86"/>
      <c r="B36" s="86"/>
      <c r="C36" s="86"/>
      <c r="D36" s="86"/>
      <c r="E36" s="86"/>
      <c r="F36"/>
      <c r="G36"/>
      <c r="H36"/>
      <c r="I36"/>
    </row>
  </sheetData>
  <mergeCells count="18">
    <mergeCell ref="G35:H35"/>
    <mergeCell ref="A32:C32"/>
    <mergeCell ref="G32:I32"/>
    <mergeCell ref="A33:C33"/>
    <mergeCell ref="G33:I33"/>
    <mergeCell ref="A34:C34"/>
    <mergeCell ref="G34:I34"/>
    <mergeCell ref="H11:H12"/>
    <mergeCell ref="C14:H14"/>
    <mergeCell ref="C21:H21"/>
    <mergeCell ref="A2:H2"/>
    <mergeCell ref="A3:H3"/>
    <mergeCell ref="A5:H5"/>
    <mergeCell ref="A7:B7"/>
    <mergeCell ref="G10:H10"/>
    <mergeCell ref="B11:B12"/>
    <mergeCell ref="C11:C12"/>
    <mergeCell ref="D11:G11"/>
  </mergeCells>
  <printOptions horizontalCentered="1"/>
  <pageMargins left="0.70866141732283472" right="0.70866141732283472" top="0.23622047244094491" bottom="0" header="0.31496062992125984" footer="0.31496062992125984"/>
  <pageSetup paperSize="9" scale="98" orientation="landscape"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A1:M51"/>
  <sheetViews>
    <sheetView view="pageBreakPreview" zoomScaleSheetLayoutView="100" workbookViewId="0">
      <pane xSplit="2" ySplit="8" topLeftCell="C39" activePane="bottomRight" state="frozen"/>
      <selection pane="topRight" activeCell="C1" sqref="C1"/>
      <selection pane="bottomLeft" activeCell="A9" sqref="A9"/>
      <selection pane="bottomRight" activeCell="C42" sqref="C42:H42"/>
    </sheetView>
  </sheetViews>
  <sheetFormatPr defaultRowHeight="12.75"/>
  <cols>
    <col min="1" max="1" width="8.28515625" customWidth="1"/>
    <col min="2" max="2" width="22.7109375" customWidth="1"/>
    <col min="3" max="3" width="14.7109375" customWidth="1"/>
    <col min="4" max="4" width="21" customWidth="1"/>
    <col min="5" max="5" width="21.140625" customWidth="1"/>
    <col min="6" max="6" width="20.7109375" customWidth="1"/>
    <col min="7" max="7" width="23.5703125" customWidth="1"/>
    <col min="8" max="8" width="17.42578125" customWidth="1"/>
  </cols>
  <sheetData>
    <row r="1" spans="1:8" ht="18">
      <c r="A1" s="911" t="s">
        <v>0</v>
      </c>
      <c r="B1" s="911"/>
      <c r="C1" s="911"/>
      <c r="D1" s="911"/>
      <c r="E1" s="911"/>
      <c r="F1" s="911"/>
      <c r="H1" s="195" t="s">
        <v>644</v>
      </c>
    </row>
    <row r="2" spans="1:8" ht="21">
      <c r="A2" s="912" t="s">
        <v>745</v>
      </c>
      <c r="B2" s="912"/>
      <c r="C2" s="912"/>
      <c r="D2" s="912"/>
      <c r="E2" s="912"/>
      <c r="F2" s="912"/>
      <c r="G2" s="912"/>
    </row>
    <row r="3" spans="1:8" ht="15">
      <c r="A3" s="197"/>
      <c r="B3" s="197"/>
    </row>
    <row r="4" spans="1:8" ht="18" customHeight="1">
      <c r="A4" s="913" t="s">
        <v>645</v>
      </c>
      <c r="B4" s="913"/>
      <c r="C4" s="913"/>
      <c r="D4" s="913"/>
      <c r="E4" s="913"/>
      <c r="F4" s="913"/>
      <c r="G4" s="913"/>
    </row>
    <row r="5" spans="1:8" ht="15">
      <c r="A5" s="198" t="s">
        <v>253</v>
      </c>
      <c r="B5" s="198"/>
    </row>
    <row r="6" spans="1:8" ht="15">
      <c r="A6" s="198"/>
      <c r="B6" s="198"/>
      <c r="F6" s="914" t="s">
        <v>831</v>
      </c>
      <c r="G6" s="914"/>
      <c r="H6" s="914"/>
    </row>
    <row r="7" spans="1:8" ht="59.25" customHeight="1">
      <c r="A7" s="199" t="s">
        <v>2</v>
      </c>
      <c r="B7" s="300" t="s">
        <v>3</v>
      </c>
      <c r="C7" s="303" t="s">
        <v>646</v>
      </c>
      <c r="D7" s="303" t="s">
        <v>647</v>
      </c>
      <c r="E7" s="303" t="s">
        <v>648</v>
      </c>
      <c r="F7" s="303" t="s">
        <v>649</v>
      </c>
      <c r="G7" s="335" t="s">
        <v>747</v>
      </c>
      <c r="H7" s="289" t="s">
        <v>720</v>
      </c>
    </row>
    <row r="8" spans="1:8" s="195" customFormat="1" ht="15">
      <c r="A8" s="201" t="s">
        <v>260</v>
      </c>
      <c r="B8" s="201" t="s">
        <v>261</v>
      </c>
      <c r="C8" s="201" t="s">
        <v>262</v>
      </c>
      <c r="D8" s="201" t="s">
        <v>263</v>
      </c>
      <c r="E8" s="201" t="s">
        <v>264</v>
      </c>
      <c r="F8" s="762" t="s">
        <v>265</v>
      </c>
      <c r="G8" s="336" t="s">
        <v>266</v>
      </c>
      <c r="H8" s="234">
        <v>8</v>
      </c>
    </row>
    <row r="9" spans="1:8" s="195" customFormat="1" ht="15">
      <c r="A9" s="508">
        <v>1</v>
      </c>
      <c r="B9" s="480" t="s">
        <v>912</v>
      </c>
      <c r="C9" s="201">
        <f>AT10A_!E13</f>
        <v>830</v>
      </c>
      <c r="D9" s="201">
        <v>19</v>
      </c>
      <c r="E9" s="201">
        <v>11</v>
      </c>
      <c r="F9" s="201">
        <v>19</v>
      </c>
      <c r="G9" s="336">
        <v>14</v>
      </c>
      <c r="H9" s="234">
        <v>0</v>
      </c>
    </row>
    <row r="10" spans="1:8" s="195" customFormat="1" ht="15">
      <c r="A10" s="508">
        <v>2</v>
      </c>
      <c r="B10" s="480" t="s">
        <v>913</v>
      </c>
      <c r="C10" s="201">
        <f>AT10A_!E14</f>
        <v>1283</v>
      </c>
      <c r="D10" s="201">
        <v>44</v>
      </c>
      <c r="E10" s="201">
        <v>27</v>
      </c>
      <c r="F10" s="201">
        <v>44</v>
      </c>
      <c r="G10" s="336">
        <v>56</v>
      </c>
      <c r="H10" s="234">
        <v>0</v>
      </c>
    </row>
    <row r="11" spans="1:8" s="195" customFormat="1" ht="15">
      <c r="A11" s="508">
        <v>3</v>
      </c>
      <c r="B11" s="480" t="s">
        <v>914</v>
      </c>
      <c r="C11" s="201">
        <f>AT10A_!E15</f>
        <v>2030</v>
      </c>
      <c r="D11" s="201">
        <v>297</v>
      </c>
      <c r="E11" s="201">
        <v>187</v>
      </c>
      <c r="F11" s="201">
        <v>297</v>
      </c>
      <c r="G11" s="336">
        <v>379</v>
      </c>
      <c r="H11" s="234">
        <v>0</v>
      </c>
    </row>
    <row r="12" spans="1:8" s="195" customFormat="1" ht="15">
      <c r="A12" s="508">
        <v>4</v>
      </c>
      <c r="B12" s="480" t="s">
        <v>915</v>
      </c>
      <c r="C12" s="201">
        <f>AT10A_!E16</f>
        <v>1529</v>
      </c>
      <c r="D12" s="201">
        <v>1061</v>
      </c>
      <c r="E12" s="201">
        <v>668</v>
      </c>
      <c r="F12" s="201">
        <v>1061</v>
      </c>
      <c r="G12" s="336">
        <v>0</v>
      </c>
      <c r="H12" s="234">
        <v>0</v>
      </c>
    </row>
    <row r="13" spans="1:8" s="195" customFormat="1" ht="15">
      <c r="A13" s="508">
        <v>5</v>
      </c>
      <c r="B13" s="480" t="s">
        <v>916</v>
      </c>
      <c r="C13" s="201">
        <f>AT10A_!E17</f>
        <v>2254</v>
      </c>
      <c r="D13" s="201">
        <v>1149</v>
      </c>
      <c r="E13" s="201">
        <v>723</v>
      </c>
      <c r="F13" s="201">
        <v>1149</v>
      </c>
      <c r="G13" s="336">
        <v>382</v>
      </c>
      <c r="H13" s="234">
        <v>0</v>
      </c>
    </row>
    <row r="14" spans="1:8" s="195" customFormat="1" ht="15">
      <c r="A14" s="508">
        <v>6</v>
      </c>
      <c r="B14" s="480" t="s">
        <v>917</v>
      </c>
      <c r="C14" s="201">
        <f>AT10A_!E18</f>
        <v>1203</v>
      </c>
      <c r="D14" s="201">
        <v>684</v>
      </c>
      <c r="E14" s="201">
        <v>430</v>
      </c>
      <c r="F14" s="201">
        <v>684</v>
      </c>
      <c r="G14" s="336">
        <v>89</v>
      </c>
      <c r="H14" s="234">
        <v>0</v>
      </c>
    </row>
    <row r="15" spans="1:8" s="195" customFormat="1" ht="15">
      <c r="A15" s="508">
        <v>7</v>
      </c>
      <c r="B15" s="480" t="s">
        <v>918</v>
      </c>
      <c r="C15" s="201">
        <f>AT10A_!E19</f>
        <v>1447</v>
      </c>
      <c r="D15" s="201">
        <v>1367</v>
      </c>
      <c r="E15" s="201">
        <v>861</v>
      </c>
      <c r="F15" s="201">
        <v>1367</v>
      </c>
      <c r="G15" s="336">
        <v>0</v>
      </c>
      <c r="H15" s="234">
        <v>0</v>
      </c>
    </row>
    <row r="16" spans="1:8" s="195" customFormat="1" ht="15">
      <c r="A16" s="508">
        <v>8</v>
      </c>
      <c r="B16" s="480" t="s">
        <v>919</v>
      </c>
      <c r="C16" s="201">
        <f>AT10A_!E20</f>
        <v>2018</v>
      </c>
      <c r="D16" s="201">
        <v>1035</v>
      </c>
      <c r="E16" s="201">
        <v>652</v>
      </c>
      <c r="F16" s="201">
        <v>1035</v>
      </c>
      <c r="G16" s="336">
        <v>331</v>
      </c>
      <c r="H16" s="234">
        <v>0</v>
      </c>
    </row>
    <row r="17" spans="1:8" s="195" customFormat="1" ht="15">
      <c r="A17" s="508">
        <v>9</v>
      </c>
      <c r="B17" s="480" t="s">
        <v>920</v>
      </c>
      <c r="C17" s="201">
        <f>AT10A_!E21</f>
        <v>1636</v>
      </c>
      <c r="D17" s="201">
        <v>1108</v>
      </c>
      <c r="E17" s="201">
        <v>698</v>
      </c>
      <c r="F17" s="201">
        <v>1108</v>
      </c>
      <c r="G17" s="336">
        <v>0</v>
      </c>
      <c r="H17" s="234">
        <v>0</v>
      </c>
    </row>
    <row r="18" spans="1:8" s="195" customFormat="1" ht="15">
      <c r="A18" s="508">
        <v>10</v>
      </c>
      <c r="B18" s="480" t="s">
        <v>921</v>
      </c>
      <c r="C18" s="201">
        <f>AT10A_!E22</f>
        <v>2399</v>
      </c>
      <c r="D18" s="201">
        <v>1028</v>
      </c>
      <c r="E18" s="201">
        <v>647</v>
      </c>
      <c r="F18" s="201">
        <v>1028</v>
      </c>
      <c r="G18" s="336">
        <v>189</v>
      </c>
      <c r="H18" s="234">
        <v>0</v>
      </c>
    </row>
    <row r="19" spans="1:8" s="195" customFormat="1" ht="15">
      <c r="A19" s="508">
        <v>11</v>
      </c>
      <c r="B19" s="480" t="s">
        <v>922</v>
      </c>
      <c r="C19" s="201">
        <f>AT10A_!E23</f>
        <v>1473</v>
      </c>
      <c r="D19" s="201">
        <v>731</v>
      </c>
      <c r="E19" s="201">
        <v>460</v>
      </c>
      <c r="F19" s="201">
        <v>731</v>
      </c>
      <c r="G19" s="336">
        <v>282</v>
      </c>
      <c r="H19" s="234">
        <v>0</v>
      </c>
    </row>
    <row r="20" spans="1:8" s="195" customFormat="1" ht="15">
      <c r="A20" s="508">
        <v>12</v>
      </c>
      <c r="B20" s="480" t="s">
        <v>923</v>
      </c>
      <c r="C20" s="201">
        <f>AT10A_!E24</f>
        <v>2379</v>
      </c>
      <c r="D20" s="201">
        <v>2715</v>
      </c>
      <c r="E20" s="201">
        <v>1710</v>
      </c>
      <c r="F20" s="201">
        <v>2715</v>
      </c>
      <c r="G20" s="336">
        <v>0</v>
      </c>
      <c r="H20" s="234">
        <v>0</v>
      </c>
    </row>
    <row r="21" spans="1:8" s="195" customFormat="1" ht="15">
      <c r="A21" s="508">
        <v>13</v>
      </c>
      <c r="B21" s="480" t="s">
        <v>924</v>
      </c>
      <c r="C21" s="201">
        <f>AT10A_!E25</f>
        <v>1964</v>
      </c>
      <c r="D21" s="201">
        <v>2334</v>
      </c>
      <c r="E21" s="201">
        <v>1470</v>
      </c>
      <c r="F21" s="201">
        <v>2334</v>
      </c>
      <c r="G21" s="336">
        <v>0</v>
      </c>
      <c r="H21" s="234">
        <v>0</v>
      </c>
    </row>
    <row r="22" spans="1:8" s="195" customFormat="1" ht="15">
      <c r="A22" s="508">
        <v>14</v>
      </c>
      <c r="B22" s="480" t="s">
        <v>925</v>
      </c>
      <c r="C22" s="201">
        <f>AT10A_!E26</f>
        <v>926</v>
      </c>
      <c r="D22" s="201">
        <v>936</v>
      </c>
      <c r="E22" s="201">
        <v>589</v>
      </c>
      <c r="F22" s="201">
        <v>936</v>
      </c>
      <c r="G22" s="336">
        <v>0</v>
      </c>
      <c r="H22" s="234">
        <v>0</v>
      </c>
    </row>
    <row r="23" spans="1:8" s="195" customFormat="1" ht="15">
      <c r="A23" s="508">
        <v>15</v>
      </c>
      <c r="B23" s="480" t="s">
        <v>926</v>
      </c>
      <c r="C23" s="201">
        <f>AT10A_!E27</f>
        <v>485</v>
      </c>
      <c r="D23" s="201">
        <v>465</v>
      </c>
      <c r="E23" s="201">
        <v>292</v>
      </c>
      <c r="F23" s="201">
        <v>465</v>
      </c>
      <c r="G23" s="336">
        <v>0</v>
      </c>
      <c r="H23" s="234">
        <v>0</v>
      </c>
    </row>
    <row r="24" spans="1:8" s="195" customFormat="1" ht="15">
      <c r="A24" s="508">
        <v>16</v>
      </c>
      <c r="B24" s="480" t="s">
        <v>927</v>
      </c>
      <c r="C24" s="201">
        <f>AT10A_!E28</f>
        <v>2641</v>
      </c>
      <c r="D24" s="201">
        <v>2219</v>
      </c>
      <c r="E24" s="201">
        <v>1397</v>
      </c>
      <c r="F24" s="201">
        <v>2219</v>
      </c>
      <c r="G24" s="336">
        <v>0</v>
      </c>
      <c r="H24" s="234">
        <v>0</v>
      </c>
    </row>
    <row r="25" spans="1:8" s="195" customFormat="1" ht="15">
      <c r="A25" s="508">
        <v>17</v>
      </c>
      <c r="B25" s="480" t="s">
        <v>928</v>
      </c>
      <c r="C25" s="201">
        <f>AT10A_!E29</f>
        <v>1580</v>
      </c>
      <c r="D25" s="201">
        <v>1635</v>
      </c>
      <c r="E25" s="201">
        <v>1030</v>
      </c>
      <c r="F25" s="201">
        <v>1635</v>
      </c>
      <c r="G25" s="336">
        <v>0</v>
      </c>
      <c r="H25" s="234">
        <v>0</v>
      </c>
    </row>
    <row r="26" spans="1:8" s="195" customFormat="1" ht="15">
      <c r="A26" s="509">
        <v>18</v>
      </c>
      <c r="B26" s="481" t="s">
        <v>929</v>
      </c>
      <c r="C26" s="201">
        <f>AT10A_!E30</f>
        <v>1397</v>
      </c>
      <c r="D26" s="201">
        <v>1028</v>
      </c>
      <c r="E26" s="201">
        <v>647</v>
      </c>
      <c r="F26" s="201">
        <v>1028</v>
      </c>
      <c r="G26" s="336">
        <v>0</v>
      </c>
      <c r="H26" s="234">
        <v>0</v>
      </c>
    </row>
    <row r="27" spans="1:8" s="195" customFormat="1" ht="15">
      <c r="A27" s="508">
        <v>19</v>
      </c>
      <c r="B27" s="480" t="s">
        <v>930</v>
      </c>
      <c r="C27" s="201">
        <f>AT10A_!E31</f>
        <v>940</v>
      </c>
      <c r="D27" s="201">
        <v>650</v>
      </c>
      <c r="E27" s="201">
        <v>409</v>
      </c>
      <c r="F27" s="201">
        <v>650</v>
      </c>
      <c r="G27" s="336">
        <v>0</v>
      </c>
      <c r="H27" s="234">
        <v>0</v>
      </c>
    </row>
    <row r="28" spans="1:8" s="195" customFormat="1" ht="15">
      <c r="A28" s="509">
        <v>20</v>
      </c>
      <c r="B28" s="481" t="s">
        <v>931</v>
      </c>
      <c r="C28" s="201">
        <f>AT10A_!E32</f>
        <v>1081</v>
      </c>
      <c r="D28" s="201">
        <v>1076</v>
      </c>
      <c r="E28" s="201">
        <v>677</v>
      </c>
      <c r="F28" s="201">
        <v>1076</v>
      </c>
      <c r="G28" s="336">
        <v>0</v>
      </c>
      <c r="H28" s="234">
        <v>0</v>
      </c>
    </row>
    <row r="29" spans="1:8" s="195" customFormat="1" ht="15">
      <c r="A29" s="508">
        <v>21</v>
      </c>
      <c r="B29" s="480" t="s">
        <v>932</v>
      </c>
      <c r="C29" s="201">
        <f>AT10A_!E33</f>
        <v>1084</v>
      </c>
      <c r="D29" s="201">
        <v>489</v>
      </c>
      <c r="E29" s="201">
        <v>308</v>
      </c>
      <c r="F29" s="201">
        <v>489</v>
      </c>
      <c r="G29" s="336">
        <v>0</v>
      </c>
      <c r="H29" s="234">
        <v>0</v>
      </c>
    </row>
    <row r="30" spans="1:8" s="195" customFormat="1" ht="15">
      <c r="A30" s="508">
        <v>22</v>
      </c>
      <c r="B30" s="480" t="s">
        <v>933</v>
      </c>
      <c r="C30" s="201">
        <f>AT10A_!E34</f>
        <v>1260</v>
      </c>
      <c r="D30" s="201">
        <v>939</v>
      </c>
      <c r="E30" s="201">
        <v>591</v>
      </c>
      <c r="F30" s="201">
        <v>939</v>
      </c>
      <c r="G30" s="336">
        <v>0</v>
      </c>
      <c r="H30" s="234">
        <v>0</v>
      </c>
    </row>
    <row r="31" spans="1:8" s="195" customFormat="1" ht="15">
      <c r="A31" s="508">
        <v>23</v>
      </c>
      <c r="B31" s="480" t="s">
        <v>934</v>
      </c>
      <c r="C31" s="201">
        <f>AT10A_!E35</f>
        <v>1520</v>
      </c>
      <c r="D31" s="201">
        <v>968</v>
      </c>
      <c r="E31" s="201">
        <v>609</v>
      </c>
      <c r="F31" s="201">
        <v>968</v>
      </c>
      <c r="G31" s="336">
        <v>0</v>
      </c>
      <c r="H31" s="234">
        <v>0</v>
      </c>
    </row>
    <row r="32" spans="1:8" s="195" customFormat="1" ht="15">
      <c r="A32" s="508">
        <v>24</v>
      </c>
      <c r="B32" s="480" t="s">
        <v>935</v>
      </c>
      <c r="C32" s="201">
        <f>AT10A_!E36</f>
        <v>852</v>
      </c>
      <c r="D32" s="201">
        <v>155</v>
      </c>
      <c r="E32" s="201">
        <v>97</v>
      </c>
      <c r="F32" s="201">
        <v>155</v>
      </c>
      <c r="G32" s="336">
        <v>437</v>
      </c>
      <c r="H32" s="234">
        <v>0</v>
      </c>
    </row>
    <row r="33" spans="1:10" s="195" customFormat="1" ht="15">
      <c r="A33" s="508">
        <v>25</v>
      </c>
      <c r="B33" s="480" t="s">
        <v>936</v>
      </c>
      <c r="C33" s="201">
        <f>AT10A_!E37</f>
        <v>1796</v>
      </c>
      <c r="D33" s="201">
        <v>191</v>
      </c>
      <c r="E33" s="201">
        <v>120</v>
      </c>
      <c r="F33" s="201">
        <v>191</v>
      </c>
      <c r="G33" s="336">
        <v>546</v>
      </c>
      <c r="H33" s="234">
        <v>0</v>
      </c>
    </row>
    <row r="34" spans="1:10" s="195" customFormat="1" ht="15">
      <c r="A34" s="508">
        <v>26</v>
      </c>
      <c r="B34" s="480" t="s">
        <v>937</v>
      </c>
      <c r="C34" s="201">
        <f>AT10A_!E38</f>
        <v>2248</v>
      </c>
      <c r="D34" s="201">
        <v>722</v>
      </c>
      <c r="E34" s="201">
        <v>454</v>
      </c>
      <c r="F34" s="201">
        <v>722</v>
      </c>
      <c r="G34" s="336">
        <v>389</v>
      </c>
      <c r="H34" s="234">
        <v>0</v>
      </c>
    </row>
    <row r="35" spans="1:10" s="195" customFormat="1" ht="15">
      <c r="A35" s="508">
        <v>27</v>
      </c>
      <c r="B35" s="480" t="s">
        <v>938</v>
      </c>
      <c r="C35" s="201">
        <f>AT10A_!E39</f>
        <v>1681</v>
      </c>
      <c r="D35" s="201">
        <v>1370</v>
      </c>
      <c r="E35" s="201">
        <v>863</v>
      </c>
      <c r="F35" s="201">
        <v>1370</v>
      </c>
      <c r="G35" s="336">
        <v>0</v>
      </c>
      <c r="H35" s="234">
        <v>0</v>
      </c>
    </row>
    <row r="36" spans="1:10" s="195" customFormat="1" ht="15">
      <c r="A36" s="508">
        <v>28</v>
      </c>
      <c r="B36" s="480" t="s">
        <v>939</v>
      </c>
      <c r="C36" s="201">
        <f>AT10A_!E40</f>
        <v>2325</v>
      </c>
      <c r="D36" s="201">
        <v>94</v>
      </c>
      <c r="E36" s="201">
        <v>59</v>
      </c>
      <c r="F36" s="201">
        <v>94</v>
      </c>
      <c r="G36" s="336">
        <v>379</v>
      </c>
      <c r="H36" s="234">
        <v>0</v>
      </c>
    </row>
    <row r="37" spans="1:10" s="195" customFormat="1" ht="15">
      <c r="A37" s="508">
        <v>29</v>
      </c>
      <c r="B37" s="480" t="s">
        <v>940</v>
      </c>
      <c r="C37" s="201">
        <f>AT10A_!E41</f>
        <v>1769</v>
      </c>
      <c r="D37" s="201">
        <v>1110</v>
      </c>
      <c r="E37" s="201">
        <v>699</v>
      </c>
      <c r="F37" s="201">
        <v>1110</v>
      </c>
      <c r="G37" s="336">
        <v>0</v>
      </c>
      <c r="H37" s="234">
        <v>0</v>
      </c>
    </row>
    <row r="38" spans="1:10" s="195" customFormat="1" ht="15">
      <c r="A38" s="508">
        <v>30</v>
      </c>
      <c r="B38" s="480" t="s">
        <v>941</v>
      </c>
      <c r="C38" s="201">
        <f>AT10A_!E42</f>
        <v>1996</v>
      </c>
      <c r="D38" s="201">
        <v>45</v>
      </c>
      <c r="E38" s="201">
        <v>28</v>
      </c>
      <c r="F38" s="201">
        <v>45</v>
      </c>
      <c r="G38" s="336">
        <v>398</v>
      </c>
      <c r="H38" s="234">
        <v>0</v>
      </c>
    </row>
    <row r="39" spans="1:10" s="195" customFormat="1" ht="15">
      <c r="A39" s="508">
        <v>31</v>
      </c>
      <c r="B39" s="480" t="s">
        <v>942</v>
      </c>
      <c r="C39" s="201">
        <f>AT10A_!E43</f>
        <v>2359</v>
      </c>
      <c r="D39" s="201">
        <v>1300</v>
      </c>
      <c r="E39" s="201">
        <v>819</v>
      </c>
      <c r="F39" s="201">
        <v>1300</v>
      </c>
      <c r="G39" s="336">
        <v>240</v>
      </c>
      <c r="H39" s="234">
        <v>0</v>
      </c>
    </row>
    <row r="40" spans="1:10" s="195" customFormat="1" ht="15">
      <c r="A40" s="508">
        <v>32</v>
      </c>
      <c r="B40" s="480" t="s">
        <v>943</v>
      </c>
      <c r="C40" s="201">
        <f>AT10A_!E44</f>
        <v>1156</v>
      </c>
      <c r="D40" s="201">
        <v>384</v>
      </c>
      <c r="E40" s="201">
        <v>241</v>
      </c>
      <c r="F40" s="201">
        <v>384</v>
      </c>
      <c r="G40" s="336">
        <v>415</v>
      </c>
      <c r="H40" s="234">
        <v>0</v>
      </c>
    </row>
    <row r="41" spans="1:10" s="195" customFormat="1" ht="15">
      <c r="A41" s="508">
        <v>33</v>
      </c>
      <c r="B41" s="480" t="s">
        <v>944</v>
      </c>
      <c r="C41" s="201">
        <f>AT10A_!E45</f>
        <v>1719</v>
      </c>
      <c r="D41" s="201">
        <v>1115</v>
      </c>
      <c r="E41" s="201">
        <v>702</v>
      </c>
      <c r="F41" s="201">
        <v>1115</v>
      </c>
      <c r="G41" s="336">
        <v>0</v>
      </c>
      <c r="H41" s="234">
        <v>0</v>
      </c>
    </row>
    <row r="42" spans="1:10" s="195" customFormat="1" ht="15">
      <c r="A42" s="508">
        <v>34</v>
      </c>
      <c r="B42" s="480" t="s">
        <v>945</v>
      </c>
      <c r="C42" s="201">
        <f>AT10A_!E46</f>
        <v>1101</v>
      </c>
      <c r="D42" s="201">
        <v>52</v>
      </c>
      <c r="E42" s="201">
        <v>32</v>
      </c>
      <c r="F42" s="201">
        <v>52</v>
      </c>
      <c r="G42" s="336">
        <v>113</v>
      </c>
      <c r="H42" s="234">
        <v>0</v>
      </c>
    </row>
    <row r="43" spans="1:10" ht="15">
      <c r="A43" s="27" t="s">
        <v>17</v>
      </c>
      <c r="B43" s="9"/>
      <c r="C43" s="201">
        <f>SUM(C9:C42)</f>
        <v>54361</v>
      </c>
      <c r="D43" s="201">
        <v>30515</v>
      </c>
      <c r="E43" s="201">
        <f t="shared" ref="E43" si="0">SUM(E9:E42)</f>
        <v>19207</v>
      </c>
      <c r="F43" s="201">
        <v>30515</v>
      </c>
      <c r="G43" s="336">
        <f>SUM(G9:G42)</f>
        <v>4639</v>
      </c>
      <c r="H43" s="201">
        <f t="shared" ref="H43" si="1">SUM(H9:H42)</f>
        <v>0</v>
      </c>
      <c r="I43" s="195"/>
      <c r="J43" s="195"/>
    </row>
    <row r="44" spans="1:10" ht="15">
      <c r="A44" s="203"/>
      <c r="F44" s="771"/>
    </row>
    <row r="45" spans="1:10" ht="15">
      <c r="E45" s="753"/>
      <c r="G45" s="753"/>
    </row>
    <row r="47" spans="1:10" ht="15" customHeight="1">
      <c r="A47" s="304"/>
      <c r="B47" s="803" t="s">
        <v>906</v>
      </c>
      <c r="C47" s="803"/>
      <c r="D47" s="803"/>
      <c r="E47" s="304"/>
      <c r="F47" s="1007" t="s">
        <v>12</v>
      </c>
      <c r="G47" s="1007"/>
      <c r="H47" s="305"/>
      <c r="I47" s="305"/>
    </row>
    <row r="48" spans="1:10" ht="15" customHeight="1">
      <c r="A48" s="304"/>
      <c r="B48" s="804" t="s">
        <v>907</v>
      </c>
      <c r="C48" s="804"/>
      <c r="D48" s="804"/>
      <c r="E48" s="304"/>
      <c r="F48" s="1007" t="s">
        <v>13</v>
      </c>
      <c r="G48" s="1007"/>
      <c r="H48" s="305"/>
      <c r="I48" s="305"/>
    </row>
    <row r="49" spans="1:13" ht="15" customHeight="1">
      <c r="A49" s="304"/>
      <c r="B49" s="804" t="s">
        <v>908</v>
      </c>
      <c r="C49" s="804"/>
      <c r="D49" s="804"/>
      <c r="E49" s="304"/>
      <c r="F49" s="1008" t="s">
        <v>87</v>
      </c>
      <c r="G49" s="1008"/>
      <c r="H49" s="1008"/>
      <c r="I49" s="1008"/>
    </row>
    <row r="50" spans="1:13">
      <c r="A50" s="304" t="s">
        <v>11</v>
      </c>
      <c r="C50" s="304"/>
      <c r="D50" s="304"/>
      <c r="E50" s="304"/>
      <c r="F50" s="1006" t="s">
        <v>84</v>
      </c>
      <c r="G50" s="1006"/>
      <c r="H50" s="304"/>
      <c r="I50" s="304"/>
    </row>
    <row r="51" spans="1:13">
      <c r="A51" s="304"/>
      <c r="B51" s="304"/>
      <c r="C51" s="304"/>
      <c r="D51" s="304"/>
      <c r="E51" s="304"/>
      <c r="F51" s="304"/>
      <c r="G51" s="304"/>
      <c r="H51" s="304"/>
      <c r="I51" s="304"/>
      <c r="J51" s="304"/>
      <c r="K51" s="304"/>
      <c r="L51" s="304"/>
      <c r="M51" s="304"/>
    </row>
  </sheetData>
  <mergeCells count="11">
    <mergeCell ref="F50:G50"/>
    <mergeCell ref="A1:F1"/>
    <mergeCell ref="A2:G2"/>
    <mergeCell ref="A4:G4"/>
    <mergeCell ref="F47:G47"/>
    <mergeCell ref="F48:G48"/>
    <mergeCell ref="F49:I49"/>
    <mergeCell ref="F6:H6"/>
    <mergeCell ref="B47:D47"/>
    <mergeCell ref="B48:D48"/>
    <mergeCell ref="B49:D49"/>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35.xml><?xml version="1.0" encoding="utf-8"?>
<worksheet xmlns="http://schemas.openxmlformats.org/spreadsheetml/2006/main" xmlns:r="http://schemas.openxmlformats.org/officeDocument/2006/relationships">
  <sheetPr codeName="Sheet35">
    <pageSetUpPr fitToPage="1"/>
  </sheetPr>
  <dimension ref="A1:H51"/>
  <sheetViews>
    <sheetView view="pageBreakPreview" topLeftCell="A37" zoomScaleSheetLayoutView="100" workbookViewId="0">
      <selection activeCell="C42" sqref="C42:E42"/>
    </sheetView>
  </sheetViews>
  <sheetFormatPr defaultRowHeight="12.75"/>
  <cols>
    <col min="1" max="1" width="8.28515625" customWidth="1"/>
    <col min="2" max="2" width="19" customWidth="1"/>
    <col min="3" max="3" width="14.7109375" customWidth="1"/>
    <col min="4" max="4" width="15.85546875" customWidth="1"/>
    <col min="5" max="5" width="14" customWidth="1"/>
    <col min="6" max="6" width="14.85546875" customWidth="1"/>
    <col min="7" max="7" width="17.7109375" customWidth="1"/>
    <col min="8" max="8" width="17.42578125" customWidth="1"/>
  </cols>
  <sheetData>
    <row r="1" spans="1:8" ht="18">
      <c r="A1" s="911" t="s">
        <v>0</v>
      </c>
      <c r="B1" s="911"/>
      <c r="C1" s="911"/>
      <c r="D1" s="911"/>
      <c r="E1" s="911"/>
      <c r="F1" s="911"/>
      <c r="H1" s="195" t="s">
        <v>721</v>
      </c>
    </row>
    <row r="2" spans="1:8" ht="21">
      <c r="A2" s="912" t="s">
        <v>745</v>
      </c>
      <c r="B2" s="912"/>
      <c r="C2" s="912"/>
      <c r="D2" s="912"/>
      <c r="E2" s="912"/>
      <c r="F2" s="912"/>
      <c r="G2" s="912"/>
    </row>
    <row r="3" spans="1:8" ht="15">
      <c r="A3" s="197"/>
      <c r="B3" s="197"/>
    </row>
    <row r="4" spans="1:8" ht="18">
      <c r="A4" s="913" t="s">
        <v>722</v>
      </c>
      <c r="B4" s="913"/>
      <c r="C4" s="913"/>
      <c r="D4" s="913"/>
      <c r="E4" s="913"/>
      <c r="F4" s="913"/>
      <c r="G4" s="913"/>
    </row>
    <row r="5" spans="1:8" ht="15">
      <c r="A5" s="198" t="s">
        <v>911</v>
      </c>
      <c r="B5" s="198"/>
    </row>
    <row r="6" spans="1:8" ht="15">
      <c r="A6" s="198"/>
      <c r="B6" s="198"/>
      <c r="F6" s="914" t="s">
        <v>831</v>
      </c>
      <c r="G6" s="914"/>
      <c r="H6" s="914"/>
    </row>
    <row r="7" spans="1:8" ht="59.25" customHeight="1">
      <c r="A7" s="300" t="s">
        <v>2</v>
      </c>
      <c r="B7" s="300" t="s">
        <v>3</v>
      </c>
      <c r="C7" s="303" t="s">
        <v>723</v>
      </c>
      <c r="D7" s="303" t="s">
        <v>724</v>
      </c>
      <c r="E7" s="303" t="s">
        <v>725</v>
      </c>
      <c r="F7" s="303" t="s">
        <v>726</v>
      </c>
      <c r="G7" s="335" t="s">
        <v>727</v>
      </c>
      <c r="H7" s="289" t="s">
        <v>728</v>
      </c>
    </row>
    <row r="8" spans="1:8" s="195" customFormat="1" ht="15">
      <c r="A8" s="201" t="s">
        <v>260</v>
      </c>
      <c r="B8" s="201" t="s">
        <v>261</v>
      </c>
      <c r="C8" s="201" t="s">
        <v>262</v>
      </c>
      <c r="D8" s="201" t="s">
        <v>263</v>
      </c>
      <c r="E8" s="201" t="s">
        <v>264</v>
      </c>
      <c r="F8" s="201" t="s">
        <v>265</v>
      </c>
      <c r="G8" s="336" t="s">
        <v>266</v>
      </c>
      <c r="H8" s="234">
        <v>8</v>
      </c>
    </row>
    <row r="9" spans="1:8" s="195" customFormat="1" ht="15">
      <c r="A9" s="291">
        <v>1</v>
      </c>
      <c r="B9" s="9" t="s">
        <v>912</v>
      </c>
      <c r="C9" s="9">
        <v>1784</v>
      </c>
      <c r="D9" s="9">
        <v>1784</v>
      </c>
      <c r="E9" s="9">
        <v>5</v>
      </c>
      <c r="F9" s="492" t="s">
        <v>996</v>
      </c>
      <c r="G9" s="1009" t="s">
        <v>1186</v>
      </c>
      <c r="H9" s="1012" t="s">
        <v>1188</v>
      </c>
    </row>
    <row r="10" spans="1:8" s="195" customFormat="1" ht="15">
      <c r="A10" s="291">
        <v>2</v>
      </c>
      <c r="B10" s="9" t="s">
        <v>913</v>
      </c>
      <c r="C10" s="9">
        <v>2613</v>
      </c>
      <c r="D10" s="9">
        <v>2613</v>
      </c>
      <c r="E10" s="9">
        <v>9</v>
      </c>
      <c r="F10" s="492" t="s">
        <v>996</v>
      </c>
      <c r="G10" s="1010"/>
      <c r="H10" s="1013"/>
    </row>
    <row r="11" spans="1:8" s="195" customFormat="1" ht="15">
      <c r="A11" s="291">
        <v>3</v>
      </c>
      <c r="B11" s="9" t="s">
        <v>914</v>
      </c>
      <c r="C11" s="9">
        <v>4524</v>
      </c>
      <c r="D11" s="9">
        <v>4524</v>
      </c>
      <c r="E11" s="9">
        <v>18</v>
      </c>
      <c r="F11" s="492" t="s">
        <v>996</v>
      </c>
      <c r="G11" s="1010"/>
      <c r="H11" s="1013"/>
    </row>
    <row r="12" spans="1:8" s="195" customFormat="1" ht="15">
      <c r="A12" s="291">
        <v>4</v>
      </c>
      <c r="B12" s="9" t="s">
        <v>915</v>
      </c>
      <c r="C12" s="9">
        <v>4310</v>
      </c>
      <c r="D12" s="9">
        <v>4310</v>
      </c>
      <c r="E12" s="9">
        <v>18</v>
      </c>
      <c r="F12" s="492" t="s">
        <v>996</v>
      </c>
      <c r="G12" s="1010"/>
      <c r="H12" s="1013"/>
    </row>
    <row r="13" spans="1:8" s="195" customFormat="1" ht="15">
      <c r="A13" s="291">
        <v>5</v>
      </c>
      <c r="B13" s="9" t="s">
        <v>916</v>
      </c>
      <c r="C13" s="9">
        <v>4341</v>
      </c>
      <c r="D13" s="9">
        <v>4341</v>
      </c>
      <c r="E13" s="9">
        <v>21</v>
      </c>
      <c r="F13" s="492" t="s">
        <v>996</v>
      </c>
      <c r="G13" s="1010"/>
      <c r="H13" s="1013"/>
    </row>
    <row r="14" spans="1:8" s="195" customFormat="1" ht="15">
      <c r="A14" s="291">
        <v>6</v>
      </c>
      <c r="B14" s="9" t="s">
        <v>917</v>
      </c>
      <c r="C14" s="9">
        <v>2095</v>
      </c>
      <c r="D14" s="9">
        <v>2095</v>
      </c>
      <c r="E14" s="9">
        <v>12</v>
      </c>
      <c r="F14" s="492" t="s">
        <v>996</v>
      </c>
      <c r="G14" s="1010"/>
      <c r="H14" s="1013"/>
    </row>
    <row r="15" spans="1:8" s="195" customFormat="1" ht="15">
      <c r="A15" s="291">
        <v>7</v>
      </c>
      <c r="B15" s="9" t="s">
        <v>918</v>
      </c>
      <c r="C15" s="9">
        <v>2418</v>
      </c>
      <c r="D15" s="9">
        <v>2418</v>
      </c>
      <c r="E15" s="9">
        <v>12</v>
      </c>
      <c r="F15" s="492" t="s">
        <v>996</v>
      </c>
      <c r="G15" s="1010"/>
      <c r="H15" s="1013"/>
    </row>
    <row r="16" spans="1:8" s="195" customFormat="1" ht="15">
      <c r="A16" s="291">
        <v>8</v>
      </c>
      <c r="B16" s="9" t="s">
        <v>919</v>
      </c>
      <c r="C16" s="9">
        <v>3672</v>
      </c>
      <c r="D16" s="9">
        <v>3672</v>
      </c>
      <c r="E16" s="9">
        <v>15</v>
      </c>
      <c r="F16" s="492" t="s">
        <v>996</v>
      </c>
      <c r="G16" s="1010"/>
      <c r="H16" s="1013"/>
    </row>
    <row r="17" spans="1:8" s="195" customFormat="1" ht="15">
      <c r="A17" s="291">
        <v>9</v>
      </c>
      <c r="B17" s="9" t="s">
        <v>920</v>
      </c>
      <c r="C17" s="9">
        <v>2776</v>
      </c>
      <c r="D17" s="9">
        <v>2776</v>
      </c>
      <c r="E17" s="9">
        <v>18</v>
      </c>
      <c r="F17" s="492" t="s">
        <v>996</v>
      </c>
      <c r="G17" s="1010"/>
      <c r="H17" s="1013"/>
    </row>
    <row r="18" spans="1:8" s="195" customFormat="1" ht="15">
      <c r="A18" s="291">
        <v>10</v>
      </c>
      <c r="B18" s="9" t="s">
        <v>921</v>
      </c>
      <c r="C18" s="9">
        <v>4130</v>
      </c>
      <c r="D18" s="9">
        <v>4130</v>
      </c>
      <c r="E18" s="9">
        <v>18</v>
      </c>
      <c r="F18" s="492" t="s">
        <v>996</v>
      </c>
      <c r="G18" s="1010"/>
      <c r="H18" s="1013"/>
    </row>
    <row r="19" spans="1:8" s="195" customFormat="1" ht="15">
      <c r="A19" s="291">
        <v>11</v>
      </c>
      <c r="B19" s="9" t="s">
        <v>922</v>
      </c>
      <c r="C19" s="9">
        <v>2693</v>
      </c>
      <c r="D19" s="9">
        <v>2693</v>
      </c>
      <c r="E19" s="9">
        <v>12</v>
      </c>
      <c r="F19" s="492" t="s">
        <v>996</v>
      </c>
      <c r="G19" s="1010"/>
      <c r="H19" s="1013"/>
    </row>
    <row r="20" spans="1:8" s="195" customFormat="1" ht="15">
      <c r="A20" s="291">
        <v>12</v>
      </c>
      <c r="B20" s="9" t="s">
        <v>923</v>
      </c>
      <c r="C20" s="9">
        <v>5206</v>
      </c>
      <c r="D20" s="9">
        <v>5206</v>
      </c>
      <c r="E20" s="9">
        <v>21</v>
      </c>
      <c r="F20" s="492" t="s">
        <v>996</v>
      </c>
      <c r="G20" s="1010"/>
      <c r="H20" s="1013"/>
    </row>
    <row r="21" spans="1:8" s="195" customFormat="1" ht="15">
      <c r="A21" s="291">
        <v>13</v>
      </c>
      <c r="B21" s="9" t="s">
        <v>924</v>
      </c>
      <c r="C21" s="9">
        <v>3607</v>
      </c>
      <c r="D21" s="9">
        <v>3607</v>
      </c>
      <c r="E21" s="9">
        <v>21</v>
      </c>
      <c r="F21" s="492" t="s">
        <v>996</v>
      </c>
      <c r="G21" s="1010"/>
      <c r="H21" s="1013"/>
    </row>
    <row r="22" spans="1:8" s="195" customFormat="1" ht="15">
      <c r="A22" s="291">
        <v>14</v>
      </c>
      <c r="B22" s="9" t="s">
        <v>925</v>
      </c>
      <c r="C22" s="9">
        <v>1970</v>
      </c>
      <c r="D22" s="9">
        <v>1970</v>
      </c>
      <c r="E22" s="9">
        <v>12</v>
      </c>
      <c r="F22" s="492" t="s">
        <v>996</v>
      </c>
      <c r="G22" s="1010"/>
      <c r="H22" s="1013"/>
    </row>
    <row r="23" spans="1:8" s="195" customFormat="1" ht="15">
      <c r="A23" s="291">
        <v>15</v>
      </c>
      <c r="B23" s="9" t="s">
        <v>926</v>
      </c>
      <c r="C23" s="9">
        <v>995</v>
      </c>
      <c r="D23" s="9">
        <v>995</v>
      </c>
      <c r="E23" s="9">
        <v>9</v>
      </c>
      <c r="F23" s="492" t="s">
        <v>996</v>
      </c>
      <c r="G23" s="1010"/>
      <c r="H23" s="1013"/>
    </row>
    <row r="24" spans="1:8" s="195" customFormat="1" ht="15">
      <c r="A24" s="291">
        <v>16</v>
      </c>
      <c r="B24" s="9" t="s">
        <v>927</v>
      </c>
      <c r="C24" s="9">
        <v>4357</v>
      </c>
      <c r="D24" s="9">
        <v>4357</v>
      </c>
      <c r="E24" s="9">
        <v>24</v>
      </c>
      <c r="F24" s="492" t="s">
        <v>996</v>
      </c>
      <c r="G24" s="1010"/>
      <c r="H24" s="1013"/>
    </row>
    <row r="25" spans="1:8" s="195" customFormat="1" ht="15">
      <c r="A25" s="291">
        <v>17</v>
      </c>
      <c r="B25" s="9" t="s">
        <v>928</v>
      </c>
      <c r="C25" s="9">
        <v>2768</v>
      </c>
      <c r="D25" s="9">
        <v>2768</v>
      </c>
      <c r="E25" s="9">
        <v>21</v>
      </c>
      <c r="F25" s="492" t="s">
        <v>996</v>
      </c>
      <c r="G25" s="1010"/>
      <c r="H25" s="1013"/>
    </row>
    <row r="26" spans="1:8" s="195" customFormat="1" ht="15">
      <c r="A26" s="291">
        <v>18</v>
      </c>
      <c r="B26" s="9" t="s">
        <v>929</v>
      </c>
      <c r="C26" s="9">
        <v>3254</v>
      </c>
      <c r="D26" s="9">
        <v>3254</v>
      </c>
      <c r="E26" s="9">
        <v>15</v>
      </c>
      <c r="F26" s="492" t="s">
        <v>996</v>
      </c>
      <c r="G26" s="1010"/>
      <c r="H26" s="1013"/>
    </row>
    <row r="27" spans="1:8" s="195" customFormat="1" ht="15">
      <c r="A27" s="291">
        <v>19</v>
      </c>
      <c r="B27" s="9" t="s">
        <v>930</v>
      </c>
      <c r="C27" s="9">
        <v>1975</v>
      </c>
      <c r="D27" s="9">
        <v>1975</v>
      </c>
      <c r="E27" s="9">
        <v>9</v>
      </c>
      <c r="F27" s="492" t="s">
        <v>996</v>
      </c>
      <c r="G27" s="1010"/>
      <c r="H27" s="1013"/>
    </row>
    <row r="28" spans="1:8" s="195" customFormat="1" ht="15">
      <c r="A28" s="291">
        <v>20</v>
      </c>
      <c r="B28" s="9" t="s">
        <v>931</v>
      </c>
      <c r="C28" s="9">
        <v>2718</v>
      </c>
      <c r="D28" s="9">
        <v>2718</v>
      </c>
      <c r="E28" s="9">
        <v>15</v>
      </c>
      <c r="F28" s="492" t="s">
        <v>996</v>
      </c>
      <c r="G28" s="1010"/>
      <c r="H28" s="1013"/>
    </row>
    <row r="29" spans="1:8" s="195" customFormat="1" ht="15">
      <c r="A29" s="291">
        <v>21</v>
      </c>
      <c r="B29" s="9" t="s">
        <v>932</v>
      </c>
      <c r="C29" s="9">
        <v>1961</v>
      </c>
      <c r="D29" s="9">
        <v>1961</v>
      </c>
      <c r="E29" s="9">
        <v>15</v>
      </c>
      <c r="F29" s="492" t="s">
        <v>996</v>
      </c>
      <c r="G29" s="1010"/>
      <c r="H29" s="1013"/>
    </row>
    <row r="30" spans="1:8" s="195" customFormat="1" ht="15">
      <c r="A30" s="291">
        <v>22</v>
      </c>
      <c r="B30" s="9" t="s">
        <v>933</v>
      </c>
      <c r="C30" s="9">
        <v>2395</v>
      </c>
      <c r="D30" s="9">
        <v>2395</v>
      </c>
      <c r="E30" s="9">
        <v>18</v>
      </c>
      <c r="F30" s="492" t="s">
        <v>996</v>
      </c>
      <c r="G30" s="1010"/>
      <c r="H30" s="1013"/>
    </row>
    <row r="31" spans="1:8" s="195" customFormat="1" ht="15">
      <c r="A31" s="291">
        <v>23</v>
      </c>
      <c r="B31" s="9" t="s">
        <v>934</v>
      </c>
      <c r="C31" s="9">
        <v>3902</v>
      </c>
      <c r="D31" s="9">
        <v>3902</v>
      </c>
      <c r="E31" s="9">
        <v>21</v>
      </c>
      <c r="F31" s="492" t="s">
        <v>996</v>
      </c>
      <c r="G31" s="1010"/>
      <c r="H31" s="1013"/>
    </row>
    <row r="32" spans="1:8" s="195" customFormat="1" ht="15">
      <c r="A32" s="291">
        <v>24</v>
      </c>
      <c r="B32" s="9" t="s">
        <v>935</v>
      </c>
      <c r="C32" s="9">
        <v>2387</v>
      </c>
      <c r="D32" s="9">
        <v>2387</v>
      </c>
      <c r="E32" s="9">
        <v>15</v>
      </c>
      <c r="F32" s="492" t="s">
        <v>996</v>
      </c>
      <c r="G32" s="1010"/>
      <c r="H32" s="1013"/>
    </row>
    <row r="33" spans="1:8" s="195" customFormat="1" ht="15">
      <c r="A33" s="291">
        <v>25</v>
      </c>
      <c r="B33" s="9" t="s">
        <v>936</v>
      </c>
      <c r="C33" s="9">
        <v>4157</v>
      </c>
      <c r="D33" s="9">
        <v>4157</v>
      </c>
      <c r="E33" s="9">
        <v>15</v>
      </c>
      <c r="F33" s="492" t="s">
        <v>996</v>
      </c>
      <c r="G33" s="1010"/>
      <c r="H33" s="1013"/>
    </row>
    <row r="34" spans="1:8" s="195" customFormat="1" ht="15">
      <c r="A34" s="291">
        <v>26</v>
      </c>
      <c r="B34" s="9" t="s">
        <v>937</v>
      </c>
      <c r="C34" s="9">
        <v>5619</v>
      </c>
      <c r="D34" s="9">
        <v>5619</v>
      </c>
      <c r="E34" s="9">
        <v>15</v>
      </c>
      <c r="F34" s="492" t="s">
        <v>996</v>
      </c>
      <c r="G34" s="1010"/>
      <c r="H34" s="1013"/>
    </row>
    <row r="35" spans="1:8" ht="15">
      <c r="A35" s="291">
        <v>27</v>
      </c>
      <c r="B35" s="9" t="s">
        <v>938</v>
      </c>
      <c r="C35" s="202">
        <v>4676</v>
      </c>
      <c r="D35" s="202">
        <v>4676</v>
      </c>
      <c r="E35" s="202">
        <v>18</v>
      </c>
      <c r="F35" s="492" t="s">
        <v>996</v>
      </c>
      <c r="G35" s="1010"/>
      <c r="H35" s="1013"/>
    </row>
    <row r="36" spans="1:8" ht="15">
      <c r="A36" s="291">
        <v>28</v>
      </c>
      <c r="B36" s="9" t="s">
        <v>939</v>
      </c>
      <c r="C36" s="202">
        <v>5952</v>
      </c>
      <c r="D36" s="202">
        <v>5952</v>
      </c>
      <c r="E36" s="202">
        <v>15</v>
      </c>
      <c r="F36" s="492" t="s">
        <v>996</v>
      </c>
      <c r="G36" s="1010"/>
      <c r="H36" s="1013"/>
    </row>
    <row r="37" spans="1:8" ht="15">
      <c r="A37" s="291">
        <v>29</v>
      </c>
      <c r="B37" s="9" t="s">
        <v>940</v>
      </c>
      <c r="C37" s="202">
        <v>4294</v>
      </c>
      <c r="D37" s="202">
        <v>4294</v>
      </c>
      <c r="E37" s="202">
        <v>15</v>
      </c>
      <c r="F37" s="492" t="s">
        <v>996</v>
      </c>
      <c r="G37" s="1010"/>
      <c r="H37" s="1013"/>
    </row>
    <row r="38" spans="1:8" ht="15">
      <c r="A38" s="291">
        <v>30</v>
      </c>
      <c r="B38" s="9" t="s">
        <v>941</v>
      </c>
      <c r="C38" s="202">
        <v>4441</v>
      </c>
      <c r="D38" s="202">
        <v>4441</v>
      </c>
      <c r="E38" s="202">
        <v>21</v>
      </c>
      <c r="F38" s="492" t="s">
        <v>996</v>
      </c>
      <c r="G38" s="1010"/>
      <c r="H38" s="1013"/>
    </row>
    <row r="39" spans="1:8" ht="15">
      <c r="A39" s="291">
        <v>31</v>
      </c>
      <c r="B39" s="9" t="s">
        <v>942</v>
      </c>
      <c r="C39" s="202">
        <v>5161</v>
      </c>
      <c r="D39" s="202">
        <v>5161</v>
      </c>
      <c r="E39" s="202">
        <v>21</v>
      </c>
      <c r="F39" s="492" t="s">
        <v>996</v>
      </c>
      <c r="G39" s="1010"/>
      <c r="H39" s="1013"/>
    </row>
    <row r="40" spans="1:8" ht="15">
      <c r="A40" s="291">
        <v>32</v>
      </c>
      <c r="B40" s="9" t="s">
        <v>943</v>
      </c>
      <c r="C40" s="202">
        <v>3220</v>
      </c>
      <c r="D40" s="202">
        <v>3220</v>
      </c>
      <c r="E40" s="202">
        <v>12</v>
      </c>
      <c r="F40" s="492" t="s">
        <v>996</v>
      </c>
      <c r="G40" s="1010"/>
      <c r="H40" s="1013"/>
    </row>
    <row r="41" spans="1:8" ht="15">
      <c r="A41" s="291">
        <v>33</v>
      </c>
      <c r="B41" s="9" t="s">
        <v>944</v>
      </c>
      <c r="C41" s="202">
        <v>4824</v>
      </c>
      <c r="D41" s="202">
        <v>4824</v>
      </c>
      <c r="E41" s="202">
        <v>15</v>
      </c>
      <c r="F41" s="492" t="s">
        <v>996</v>
      </c>
      <c r="G41" s="1010"/>
      <c r="H41" s="1013"/>
    </row>
    <row r="42" spans="1:8" ht="15">
      <c r="A42" s="291">
        <v>34</v>
      </c>
      <c r="B42" s="9" t="s">
        <v>945</v>
      </c>
      <c r="C42" s="202">
        <v>2732</v>
      </c>
      <c r="D42" s="202">
        <v>2732</v>
      </c>
      <c r="E42" s="202">
        <v>9</v>
      </c>
      <c r="F42" s="492" t="s">
        <v>996</v>
      </c>
      <c r="G42" s="1010"/>
      <c r="H42" s="1013"/>
    </row>
    <row r="43" spans="1:8">
      <c r="A43" s="27" t="s">
        <v>17</v>
      </c>
      <c r="B43" s="9"/>
      <c r="C43" s="27">
        <f>SUM(C9:C42)</f>
        <v>117927</v>
      </c>
      <c r="D43" s="27">
        <f>SUM(D9:D42)</f>
        <v>117927</v>
      </c>
      <c r="E43" s="27">
        <f>SUM(E9:E42)</f>
        <v>530</v>
      </c>
      <c r="F43" s="9"/>
      <c r="G43" s="1011"/>
      <c r="H43" s="1014"/>
    </row>
    <row r="44" spans="1:8">
      <c r="A44" s="203"/>
    </row>
    <row r="47" spans="1:8">
      <c r="A47" s="803" t="s">
        <v>906</v>
      </c>
      <c r="B47" s="803"/>
      <c r="C47" s="803"/>
      <c r="E47" s="901" t="s">
        <v>12</v>
      </c>
      <c r="F47" s="901"/>
      <c r="G47" s="901"/>
      <c r="H47" s="494"/>
    </row>
    <row r="48" spans="1:8" ht="12.75" customHeight="1">
      <c r="A48" s="804" t="s">
        <v>907</v>
      </c>
      <c r="B48" s="804"/>
      <c r="C48" s="804"/>
      <c r="E48" s="901" t="s">
        <v>13</v>
      </c>
      <c r="F48" s="901"/>
      <c r="G48" s="901"/>
      <c r="H48" s="494"/>
    </row>
    <row r="49" spans="1:8" ht="12.75" customHeight="1">
      <c r="A49" s="804" t="s">
        <v>908</v>
      </c>
      <c r="B49" s="804"/>
      <c r="C49" s="804"/>
      <c r="E49" s="901" t="s">
        <v>87</v>
      </c>
      <c r="F49" s="901"/>
      <c r="G49" s="901"/>
      <c r="H49" s="517"/>
    </row>
    <row r="50" spans="1:8">
      <c r="A50" s="99" t="s">
        <v>984</v>
      </c>
      <c r="B50" s="86"/>
      <c r="C50" s="86"/>
      <c r="F50" s="493" t="s">
        <v>84</v>
      </c>
      <c r="G50" s="493"/>
    </row>
    <row r="51" spans="1:8">
      <c r="A51" s="86"/>
      <c r="B51" s="86"/>
      <c r="C51" s="86"/>
      <c r="D51" s="86"/>
      <c r="E51" s="86"/>
    </row>
  </sheetData>
  <mergeCells count="12">
    <mergeCell ref="A49:C49"/>
    <mergeCell ref="E47:G47"/>
    <mergeCell ref="E48:G48"/>
    <mergeCell ref="E49:G49"/>
    <mergeCell ref="A1:F1"/>
    <mergeCell ref="A2:G2"/>
    <mergeCell ref="A4:G4"/>
    <mergeCell ref="F6:H6"/>
    <mergeCell ref="G9:G43"/>
    <mergeCell ref="H9:H43"/>
    <mergeCell ref="A47:C47"/>
    <mergeCell ref="A48:C48"/>
  </mergeCells>
  <printOptions horizontalCentered="1"/>
  <pageMargins left="0.70866141732283472" right="0.70866141732283472" top="0.23622047244094491" bottom="0" header="0.31496062992125984" footer="0.31496062992125984"/>
  <pageSetup paperSize="9" scale="75" orientation="landscape" r:id="rId1"/>
</worksheet>
</file>

<file path=xl/worksheets/sheet36.xml><?xml version="1.0" encoding="utf-8"?>
<worksheet xmlns="http://schemas.openxmlformats.org/spreadsheetml/2006/main" xmlns:r="http://schemas.openxmlformats.org/officeDocument/2006/relationships">
  <sheetPr codeName="Sheet36">
    <pageSetUpPr fitToPage="1"/>
  </sheetPr>
  <dimension ref="A1:S35"/>
  <sheetViews>
    <sheetView view="pageBreakPreview" topLeftCell="A19" zoomScale="90" zoomScaleSheetLayoutView="90" workbookViewId="0">
      <selection activeCell="A30" sqref="A30:C32"/>
    </sheetView>
  </sheetViews>
  <sheetFormatPr defaultRowHeight="12.75"/>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c r="D1" s="803"/>
      <c r="E1" s="803"/>
      <c r="H1" s="40"/>
      <c r="I1" s="919" t="s">
        <v>68</v>
      </c>
      <c r="J1" s="919"/>
    </row>
    <row r="2" spans="1:19" ht="15">
      <c r="A2" s="920" t="s">
        <v>0</v>
      </c>
      <c r="B2" s="920"/>
      <c r="C2" s="920"/>
      <c r="D2" s="920"/>
      <c r="E2" s="920"/>
      <c r="F2" s="920"/>
      <c r="G2" s="920"/>
      <c r="H2" s="920"/>
      <c r="I2" s="920"/>
      <c r="J2" s="920"/>
    </row>
    <row r="3" spans="1:19" ht="20.25">
      <c r="A3" s="848" t="s">
        <v>745</v>
      </c>
      <c r="B3" s="848"/>
      <c r="C3" s="848"/>
      <c r="D3" s="848"/>
      <c r="E3" s="848"/>
      <c r="F3" s="848"/>
      <c r="G3" s="848"/>
      <c r="H3" s="848"/>
      <c r="I3" s="848"/>
      <c r="J3" s="848"/>
    </row>
    <row r="4" spans="1:19" ht="10.5" customHeight="1"/>
    <row r="5" spans="1:19" s="15" customFormat="1" ht="24.75" customHeight="1">
      <c r="A5" s="1016" t="s">
        <v>436</v>
      </c>
      <c r="B5" s="1016"/>
      <c r="C5" s="1016"/>
      <c r="D5" s="1016"/>
      <c r="E5" s="1016"/>
      <c r="F5" s="1016"/>
      <c r="G5" s="1016"/>
      <c r="H5" s="1016"/>
      <c r="I5" s="1016"/>
      <c r="J5" s="1016"/>
      <c r="K5" s="1016"/>
    </row>
    <row r="6" spans="1:19" s="15" customFormat="1" ht="15.75" customHeight="1">
      <c r="A6" s="43"/>
      <c r="B6" s="43"/>
      <c r="C6" s="43"/>
      <c r="D6" s="43"/>
      <c r="E6" s="43"/>
      <c r="F6" s="43"/>
      <c r="G6" s="43"/>
      <c r="H6" s="43"/>
      <c r="I6" s="43"/>
      <c r="J6" s="43"/>
    </row>
    <row r="7" spans="1:19" s="15" customFormat="1">
      <c r="A7" s="850" t="s">
        <v>911</v>
      </c>
      <c r="B7" s="850"/>
      <c r="E7" s="966"/>
      <c r="F7" s="966"/>
      <c r="G7" s="966"/>
      <c r="H7" s="966"/>
      <c r="I7" s="966" t="s">
        <v>832</v>
      </c>
      <c r="J7" s="966"/>
      <c r="K7" s="966"/>
    </row>
    <row r="8" spans="1:19" s="13" customFormat="1" ht="15.75" hidden="1">
      <c r="C8" s="920" t="s">
        <v>14</v>
      </c>
      <c r="D8" s="920"/>
      <c r="E8" s="920"/>
      <c r="F8" s="920"/>
      <c r="G8" s="920"/>
      <c r="H8" s="920"/>
      <c r="I8" s="920"/>
      <c r="J8" s="920"/>
    </row>
    <row r="9" spans="1:19" ht="44.25" customHeight="1">
      <c r="A9" s="917" t="s">
        <v>24</v>
      </c>
      <c r="B9" s="917" t="s">
        <v>58</v>
      </c>
      <c r="C9" s="821" t="s">
        <v>462</v>
      </c>
      <c r="D9" s="823"/>
      <c r="E9" s="821" t="s">
        <v>38</v>
      </c>
      <c r="F9" s="823"/>
      <c r="G9" s="821" t="s">
        <v>39</v>
      </c>
      <c r="H9" s="823"/>
      <c r="I9" s="834" t="s">
        <v>107</v>
      </c>
      <c r="J9" s="834"/>
      <c r="K9" s="917" t="s">
        <v>514</v>
      </c>
      <c r="R9" s="9"/>
      <c r="S9" s="12"/>
    </row>
    <row r="10" spans="1:19" s="14" customFormat="1" ht="42.6" customHeight="1">
      <c r="A10" s="918"/>
      <c r="B10" s="918"/>
      <c r="C10" s="5" t="s">
        <v>40</v>
      </c>
      <c r="D10" s="5" t="s">
        <v>106</v>
      </c>
      <c r="E10" s="5" t="s">
        <v>40</v>
      </c>
      <c r="F10" s="5" t="s">
        <v>106</v>
      </c>
      <c r="G10" s="5" t="s">
        <v>40</v>
      </c>
      <c r="H10" s="5" t="s">
        <v>106</v>
      </c>
      <c r="I10" s="5" t="s">
        <v>136</v>
      </c>
      <c r="J10" s="5" t="s">
        <v>137</v>
      </c>
      <c r="K10" s="918"/>
    </row>
    <row r="11" spans="1:19">
      <c r="A11" s="146">
        <v>1</v>
      </c>
      <c r="B11" s="146">
        <v>2</v>
      </c>
      <c r="C11" s="146">
        <v>3</v>
      </c>
      <c r="D11" s="146">
        <v>4</v>
      </c>
      <c r="E11" s="146">
        <v>5</v>
      </c>
      <c r="F11" s="146">
        <v>6</v>
      </c>
      <c r="G11" s="146">
        <v>7</v>
      </c>
      <c r="H11" s="146">
        <v>8</v>
      </c>
      <c r="I11" s="146">
        <v>9</v>
      </c>
      <c r="J11" s="146">
        <v>10</v>
      </c>
      <c r="K11" s="3">
        <v>11</v>
      </c>
    </row>
    <row r="12" spans="1:19" ht="15.75" customHeight="1">
      <c r="A12" s="8">
        <v>1</v>
      </c>
      <c r="B12" s="17" t="s">
        <v>374</v>
      </c>
      <c r="C12" s="9">
        <v>8313</v>
      </c>
      <c r="D12" s="370">
        <v>4987.8</v>
      </c>
      <c r="E12" s="9">
        <v>8313</v>
      </c>
      <c r="F12" s="370">
        <f>D12</f>
        <v>4987.8</v>
      </c>
      <c r="G12" s="9">
        <v>0</v>
      </c>
      <c r="H12" s="370">
        <v>0</v>
      </c>
      <c r="I12" s="9">
        <v>0</v>
      </c>
      <c r="J12" s="370">
        <v>0</v>
      </c>
      <c r="K12" s="9"/>
    </row>
    <row r="13" spans="1:19" ht="15.75" customHeight="1">
      <c r="A13" s="8">
        <v>2</v>
      </c>
      <c r="B13" s="17" t="s">
        <v>375</v>
      </c>
      <c r="C13" s="9">
        <v>18241</v>
      </c>
      <c r="D13" s="370">
        <v>10944.6</v>
      </c>
      <c r="E13" s="9">
        <v>18241</v>
      </c>
      <c r="F13" s="370">
        <f t="shared" ref="F13:F17" si="0">D13</f>
        <v>10944.6</v>
      </c>
      <c r="G13" s="9">
        <v>0</v>
      </c>
      <c r="H13" s="370">
        <v>0</v>
      </c>
      <c r="I13" s="9">
        <v>0</v>
      </c>
      <c r="J13" s="370">
        <v>0</v>
      </c>
      <c r="K13" s="9"/>
    </row>
    <row r="14" spans="1:19" ht="15.75" customHeight="1">
      <c r="A14" s="8">
        <v>3</v>
      </c>
      <c r="B14" s="17" t="s">
        <v>376</v>
      </c>
      <c r="C14" s="9">
        <v>0</v>
      </c>
      <c r="D14" s="370">
        <v>0</v>
      </c>
      <c r="E14" s="9">
        <v>0</v>
      </c>
      <c r="F14" s="370">
        <f t="shared" si="0"/>
        <v>0</v>
      </c>
      <c r="G14" s="9">
        <v>0</v>
      </c>
      <c r="H14" s="370">
        <v>0</v>
      </c>
      <c r="I14" s="9">
        <v>0</v>
      </c>
      <c r="J14" s="370">
        <v>0</v>
      </c>
      <c r="K14" s="9"/>
    </row>
    <row r="15" spans="1:19" ht="15.75" customHeight="1">
      <c r="A15" s="8">
        <v>4</v>
      </c>
      <c r="B15" s="17" t="s">
        <v>377</v>
      </c>
      <c r="C15" s="9">
        <v>0</v>
      </c>
      <c r="D15" s="370">
        <v>0</v>
      </c>
      <c r="E15" s="9">
        <v>0</v>
      </c>
      <c r="F15" s="370">
        <f t="shared" si="0"/>
        <v>0</v>
      </c>
      <c r="G15" s="9">
        <v>0</v>
      </c>
      <c r="H15" s="370">
        <v>0</v>
      </c>
      <c r="I15" s="9">
        <v>0</v>
      </c>
      <c r="J15" s="370">
        <v>0</v>
      </c>
      <c r="K15" s="9"/>
    </row>
    <row r="16" spans="1:19" ht="15.75" customHeight="1">
      <c r="A16" s="8">
        <v>5</v>
      </c>
      <c r="B16" s="17" t="s">
        <v>378</v>
      </c>
      <c r="C16" s="9">
        <v>0</v>
      </c>
      <c r="D16" s="370">
        <v>0</v>
      </c>
      <c r="E16" s="9">
        <v>0</v>
      </c>
      <c r="F16" s="370">
        <f t="shared" si="0"/>
        <v>0</v>
      </c>
      <c r="G16" s="9">
        <v>0</v>
      </c>
      <c r="H16" s="370">
        <v>0</v>
      </c>
      <c r="I16" s="9">
        <v>0</v>
      </c>
      <c r="J16" s="370">
        <v>0</v>
      </c>
      <c r="K16" s="9"/>
    </row>
    <row r="17" spans="1:11" ht="15.75" customHeight="1">
      <c r="A17" s="8">
        <v>6</v>
      </c>
      <c r="B17" s="17" t="s">
        <v>379</v>
      </c>
      <c r="C17" s="9">
        <v>8724</v>
      </c>
      <c r="D17" s="370">
        <v>25245.62</v>
      </c>
      <c r="E17" s="9">
        <v>8724</v>
      </c>
      <c r="F17" s="370">
        <f t="shared" si="0"/>
        <v>25245.62</v>
      </c>
      <c r="G17" s="9">
        <v>0</v>
      </c>
      <c r="H17" s="370">
        <v>0</v>
      </c>
      <c r="I17" s="9">
        <v>0</v>
      </c>
      <c r="J17" s="370">
        <v>0</v>
      </c>
      <c r="K17" s="9"/>
    </row>
    <row r="18" spans="1:11" ht="15.75" customHeight="1">
      <c r="A18" s="8">
        <v>7</v>
      </c>
      <c r="B18" s="17" t="s">
        <v>380</v>
      </c>
      <c r="C18" s="9">
        <v>0</v>
      </c>
      <c r="D18" s="370">
        <v>0</v>
      </c>
      <c r="E18" s="9">
        <v>0</v>
      </c>
      <c r="F18" s="370">
        <v>0</v>
      </c>
      <c r="G18" s="9">
        <v>0</v>
      </c>
      <c r="H18" s="370">
        <v>0</v>
      </c>
      <c r="I18" s="9">
        <v>0</v>
      </c>
      <c r="J18" s="370">
        <v>0</v>
      </c>
      <c r="K18" s="9"/>
    </row>
    <row r="19" spans="1:11" s="12" customFormat="1" ht="15.75" customHeight="1">
      <c r="A19" s="8">
        <v>8</v>
      </c>
      <c r="B19" s="17" t="s">
        <v>250</v>
      </c>
      <c r="C19" s="9">
        <v>3906</v>
      </c>
      <c r="D19" s="370">
        <v>11975.59</v>
      </c>
      <c r="E19" s="9">
        <v>3788</v>
      </c>
      <c r="F19" s="370">
        <v>11613.8</v>
      </c>
      <c r="G19" s="9">
        <v>48</v>
      </c>
      <c r="H19" s="370">
        <f>11695.89-F19</f>
        <v>82.090000000000146</v>
      </c>
      <c r="I19" s="9">
        <v>70</v>
      </c>
      <c r="J19" s="370">
        <f>D19-F19-H19</f>
        <v>279.70000000000073</v>
      </c>
      <c r="K19" s="9"/>
    </row>
    <row r="20" spans="1:11" s="12" customFormat="1" ht="15.75" customHeight="1">
      <c r="A20" s="8">
        <v>9</v>
      </c>
      <c r="B20" s="17" t="s">
        <v>355</v>
      </c>
      <c r="C20" s="9">
        <v>0</v>
      </c>
      <c r="D20" s="370">
        <v>0</v>
      </c>
      <c r="E20" s="9">
        <v>0</v>
      </c>
      <c r="F20" s="370">
        <v>0</v>
      </c>
      <c r="G20" s="9">
        <v>0</v>
      </c>
      <c r="H20" s="370">
        <v>0</v>
      </c>
      <c r="I20" s="9">
        <v>0</v>
      </c>
      <c r="J20" s="370">
        <v>0</v>
      </c>
      <c r="K20" s="9"/>
    </row>
    <row r="21" spans="1:11" s="12" customFormat="1" ht="15.75" customHeight="1">
      <c r="A21" s="8">
        <v>10</v>
      </c>
      <c r="B21" s="17" t="s">
        <v>513</v>
      </c>
      <c r="C21" s="9">
        <v>0</v>
      </c>
      <c r="D21" s="370">
        <v>0</v>
      </c>
      <c r="E21" s="9">
        <v>0</v>
      </c>
      <c r="F21" s="370">
        <v>0</v>
      </c>
      <c r="G21" s="9">
        <v>0</v>
      </c>
      <c r="H21" s="370">
        <v>0</v>
      </c>
      <c r="I21" s="9">
        <v>0</v>
      </c>
      <c r="J21" s="370">
        <v>0</v>
      </c>
      <c r="K21" s="9"/>
    </row>
    <row r="22" spans="1:11" s="12" customFormat="1" ht="15.75" customHeight="1">
      <c r="A22" s="8">
        <v>11</v>
      </c>
      <c r="B22" s="17" t="s">
        <v>474</v>
      </c>
      <c r="C22" s="9">
        <v>0</v>
      </c>
      <c r="D22" s="370">
        <v>0</v>
      </c>
      <c r="E22" s="9">
        <v>0</v>
      </c>
      <c r="F22" s="370">
        <v>0</v>
      </c>
      <c r="G22" s="9">
        <v>0</v>
      </c>
      <c r="H22" s="370">
        <v>0</v>
      </c>
      <c r="I22" s="9">
        <v>0</v>
      </c>
      <c r="J22" s="370">
        <v>0</v>
      </c>
      <c r="K22" s="9"/>
    </row>
    <row r="23" spans="1:11" s="12" customFormat="1" ht="15.75" customHeight="1">
      <c r="A23" s="8">
        <v>12</v>
      </c>
      <c r="B23" s="17" t="s">
        <v>512</v>
      </c>
      <c r="C23" s="9">
        <v>1293</v>
      </c>
      <c r="D23" s="370">
        <v>775.8</v>
      </c>
      <c r="E23" s="9">
        <v>239</v>
      </c>
      <c r="F23" s="370">
        <v>747.64</v>
      </c>
      <c r="G23" s="9">
        <v>9</v>
      </c>
      <c r="H23" s="370">
        <f>D23-F23</f>
        <v>28.159999999999968</v>
      </c>
      <c r="I23" s="9">
        <v>1045</v>
      </c>
      <c r="J23" s="370">
        <v>0</v>
      </c>
      <c r="K23" s="9"/>
    </row>
    <row r="24" spans="1:11" s="12" customFormat="1" ht="15.75" customHeight="1">
      <c r="A24" s="8">
        <v>13</v>
      </c>
      <c r="B24" s="337" t="s">
        <v>688</v>
      </c>
      <c r="C24" s="9">
        <v>0</v>
      </c>
      <c r="D24" s="370">
        <v>0</v>
      </c>
      <c r="E24" s="9">
        <v>0</v>
      </c>
      <c r="F24" s="370">
        <v>0</v>
      </c>
      <c r="G24" s="9">
        <v>0</v>
      </c>
      <c r="H24" s="370">
        <v>0</v>
      </c>
      <c r="I24" s="9">
        <v>0</v>
      </c>
      <c r="J24" s="370">
        <v>0</v>
      </c>
      <c r="K24" s="9"/>
    </row>
    <row r="25" spans="1:11" s="12" customFormat="1" ht="15.75" customHeight="1">
      <c r="A25" s="8">
        <v>14</v>
      </c>
      <c r="B25" s="339" t="s">
        <v>848</v>
      </c>
      <c r="C25" s="9">
        <v>0</v>
      </c>
      <c r="D25" s="370">
        <v>0</v>
      </c>
      <c r="E25" s="9">
        <v>0</v>
      </c>
      <c r="F25" s="370">
        <v>0</v>
      </c>
      <c r="G25" s="9">
        <v>0</v>
      </c>
      <c r="H25" s="370">
        <v>0</v>
      </c>
      <c r="I25" s="9">
        <v>0</v>
      </c>
      <c r="J25" s="370">
        <v>0</v>
      </c>
      <c r="K25" s="9"/>
    </row>
    <row r="26" spans="1:11" s="12" customFormat="1" ht="15.75" customHeight="1">
      <c r="A26" s="3" t="s">
        <v>17</v>
      </c>
      <c r="B26" s="9"/>
      <c r="C26" s="27">
        <f>SUM(C12:C25)</f>
        <v>40477</v>
      </c>
      <c r="D26" s="410">
        <f>SUM(D12:D25)</f>
        <v>53929.41</v>
      </c>
      <c r="E26" s="466">
        <f>SUM(E12:E25)</f>
        <v>39305</v>
      </c>
      <c r="F26" s="410">
        <f>SUM(F12:F25)</f>
        <v>53539.460000000006</v>
      </c>
      <c r="G26" s="27">
        <f>SUM(G12:G25)</f>
        <v>57</v>
      </c>
      <c r="H26" s="410">
        <f>SUM(H13:H25)</f>
        <v>110.25000000000011</v>
      </c>
      <c r="I26" s="27">
        <f>SUM(I12:I25)</f>
        <v>1115</v>
      </c>
      <c r="J26" s="410">
        <f>SUM(J12:J25)</f>
        <v>279.70000000000073</v>
      </c>
      <c r="K26" s="9"/>
    </row>
    <row r="27" spans="1:11" s="12" customFormat="1" ht="142.5" customHeight="1">
      <c r="A27" s="1015" t="s">
        <v>1187</v>
      </c>
      <c r="B27" s="1015"/>
      <c r="C27" s="1015"/>
      <c r="D27" s="1015"/>
      <c r="E27" s="1015"/>
      <c r="F27" s="1015"/>
      <c r="G27" s="1015"/>
      <c r="H27" s="1015"/>
      <c r="I27" s="1015"/>
      <c r="J27" s="1015"/>
      <c r="K27" s="1015"/>
    </row>
    <row r="28" spans="1:11" s="12" customFormat="1">
      <c r="A28" s="459"/>
      <c r="B28"/>
      <c r="C28"/>
      <c r="D28"/>
      <c r="E28"/>
      <c r="F28"/>
      <c r="G28"/>
      <c r="H28"/>
      <c r="I28" s="424"/>
      <c r="J28" s="424"/>
      <c r="K28"/>
    </row>
    <row r="29" spans="1:11" s="12" customFormat="1">
      <c r="A29" s="459"/>
      <c r="B29"/>
      <c r="C29"/>
      <c r="D29"/>
      <c r="E29"/>
      <c r="F29"/>
      <c r="G29"/>
      <c r="H29" s="424"/>
      <c r="I29"/>
      <c r="J29"/>
      <c r="K29" s="424"/>
    </row>
    <row r="30" spans="1:11" s="15" customFormat="1" ht="13.9" customHeight="1">
      <c r="A30" s="803" t="s">
        <v>906</v>
      </c>
      <c r="B30" s="803"/>
      <c r="C30" s="803"/>
      <c r="D30" s="367"/>
      <c r="E30" s="367"/>
      <c r="F30" s="367"/>
      <c r="G30" s="367"/>
      <c r="H30" s="804" t="s">
        <v>12</v>
      </c>
      <c r="I30" s="804"/>
      <c r="J30" s="804"/>
      <c r="K30" s="367"/>
    </row>
    <row r="31" spans="1:11" s="15" customFormat="1" ht="13.15" customHeight="1">
      <c r="A31" s="804" t="s">
        <v>907</v>
      </c>
      <c r="B31" s="804"/>
      <c r="C31" s="804"/>
      <c r="D31" s="367"/>
      <c r="E31" s="367"/>
      <c r="F31" s="367"/>
      <c r="G31" s="367"/>
      <c r="H31" s="804" t="s">
        <v>13</v>
      </c>
      <c r="I31" s="804"/>
      <c r="J31" s="804"/>
      <c r="K31" s="367"/>
    </row>
    <row r="32" spans="1:11" s="15" customFormat="1" ht="13.15" customHeight="1">
      <c r="A32" s="804" t="s">
        <v>908</v>
      </c>
      <c r="B32" s="804"/>
      <c r="C32" s="804"/>
      <c r="D32" s="367"/>
      <c r="E32" s="367"/>
      <c r="F32" s="367"/>
      <c r="G32" s="367"/>
      <c r="H32" s="804" t="s">
        <v>18</v>
      </c>
      <c r="I32" s="804"/>
      <c r="J32" s="804"/>
      <c r="K32" s="367"/>
    </row>
    <row r="33" spans="1:11" s="15" customFormat="1">
      <c r="A33" s="14" t="s">
        <v>21</v>
      </c>
      <c r="B33" s="14"/>
      <c r="C33" s="14"/>
      <c r="D33" s="14"/>
      <c r="E33" s="14"/>
      <c r="F33" s="14"/>
      <c r="G33" s="458"/>
      <c r="H33" s="803" t="s">
        <v>22</v>
      </c>
      <c r="I33" s="803"/>
      <c r="J33" s="458"/>
      <c r="K33" s="458"/>
    </row>
    <row r="34" spans="1:11" s="15" customFormat="1"/>
    <row r="35" spans="1:11">
      <c r="A35" s="959"/>
      <c r="B35" s="959"/>
      <c r="C35" s="959"/>
      <c r="D35" s="959"/>
      <c r="E35" s="959"/>
      <c r="F35" s="959"/>
      <c r="G35" s="959"/>
      <c r="H35" s="959"/>
      <c r="I35" s="959"/>
      <c r="J35" s="959"/>
    </row>
  </sheetData>
  <mergeCells count="25">
    <mergeCell ref="K9:K10"/>
    <mergeCell ref="A7:B7"/>
    <mergeCell ref="E7:H7"/>
    <mergeCell ref="I7:K7"/>
    <mergeCell ref="D1:E1"/>
    <mergeCell ref="I1:J1"/>
    <mergeCell ref="A2:J2"/>
    <mergeCell ref="A3:J3"/>
    <mergeCell ref="A5:K5"/>
    <mergeCell ref="A35:J35"/>
    <mergeCell ref="C8:J8"/>
    <mergeCell ref="A9:A10"/>
    <mergeCell ref="B9:B10"/>
    <mergeCell ref="C9:D9"/>
    <mergeCell ref="E9:F9"/>
    <mergeCell ref="G9:H9"/>
    <mergeCell ref="I9:J9"/>
    <mergeCell ref="A27:K27"/>
    <mergeCell ref="A30:C30"/>
    <mergeCell ref="H30:J30"/>
    <mergeCell ref="A31:C31"/>
    <mergeCell ref="H31:J31"/>
    <mergeCell ref="A32:C32"/>
    <mergeCell ref="H32:J32"/>
    <mergeCell ref="H33:I33"/>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37.xml><?xml version="1.0" encoding="utf-8"?>
<worksheet xmlns="http://schemas.openxmlformats.org/spreadsheetml/2006/main" xmlns:r="http://schemas.openxmlformats.org/officeDocument/2006/relationships">
  <sheetPr codeName="Sheet37">
    <pageSetUpPr fitToPage="1"/>
  </sheetPr>
  <dimension ref="A1:P56"/>
  <sheetViews>
    <sheetView view="pageBreakPreview" topLeftCell="A31" zoomScale="90" zoomScaleSheetLayoutView="90" workbookViewId="0">
      <selection activeCell="C33" sqref="C33:K33"/>
    </sheetView>
  </sheetViews>
  <sheetFormatPr defaultRowHeight="12.75"/>
  <cols>
    <col min="2" max="2" width="18.42578125" bestFit="1"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6" ht="15">
      <c r="D1" s="803"/>
      <c r="E1" s="803"/>
      <c r="H1" s="40"/>
      <c r="I1" s="919" t="s">
        <v>381</v>
      </c>
      <c r="J1" s="919"/>
    </row>
    <row r="2" spans="1:16" ht="15">
      <c r="A2" s="920" t="s">
        <v>0</v>
      </c>
      <c r="B2" s="920"/>
      <c r="C2" s="920"/>
      <c r="D2" s="920"/>
      <c r="E2" s="920"/>
      <c r="F2" s="920"/>
      <c r="G2" s="920"/>
      <c r="H2" s="920"/>
      <c r="I2" s="920"/>
      <c r="J2" s="920"/>
    </row>
    <row r="3" spans="1:16" ht="20.25">
      <c r="A3" s="848" t="s">
        <v>748</v>
      </c>
      <c r="B3" s="848"/>
      <c r="C3" s="848"/>
      <c r="D3" s="848"/>
      <c r="E3" s="848"/>
      <c r="F3" s="848"/>
      <c r="G3" s="848"/>
      <c r="H3" s="848"/>
      <c r="I3" s="848"/>
      <c r="J3" s="848"/>
    </row>
    <row r="4" spans="1:16" ht="10.5" customHeight="1"/>
    <row r="5" spans="1:16" s="15" customFormat="1" ht="18.75" customHeight="1">
      <c r="A5" s="1016" t="s">
        <v>437</v>
      </c>
      <c r="B5" s="1016"/>
      <c r="C5" s="1016"/>
      <c r="D5" s="1016"/>
      <c r="E5" s="1016"/>
      <c r="F5" s="1016"/>
      <c r="G5" s="1016"/>
      <c r="H5" s="1016"/>
      <c r="I5" s="1016"/>
      <c r="J5" s="1016"/>
      <c r="K5" s="1016"/>
    </row>
    <row r="6" spans="1:16" s="15" customFormat="1" ht="15.75" customHeight="1">
      <c r="A6" s="43"/>
      <c r="B6" s="43"/>
      <c r="C6" s="43"/>
      <c r="D6" s="43"/>
      <c r="E6" s="43"/>
      <c r="F6" s="43"/>
      <c r="G6" s="43"/>
      <c r="H6" s="43"/>
      <c r="I6" s="43"/>
      <c r="J6" s="43"/>
    </row>
    <row r="7" spans="1:16" s="15" customFormat="1">
      <c r="A7" s="850" t="s">
        <v>162</v>
      </c>
      <c r="B7" s="850"/>
      <c r="E7" s="966"/>
      <c r="F7" s="966"/>
      <c r="G7" s="966"/>
      <c r="H7" s="966"/>
      <c r="I7" s="966" t="s">
        <v>832</v>
      </c>
      <c r="J7" s="966"/>
      <c r="K7" s="966"/>
    </row>
    <row r="8" spans="1:16" s="13" customFormat="1" ht="15.75" hidden="1">
      <c r="C8" s="920" t="s">
        <v>14</v>
      </c>
      <c r="D8" s="920"/>
      <c r="E8" s="920"/>
      <c r="F8" s="920"/>
      <c r="G8" s="920"/>
      <c r="H8" s="920"/>
      <c r="I8" s="920"/>
      <c r="J8" s="920"/>
    </row>
    <row r="9" spans="1:16" ht="30" customHeight="1">
      <c r="A9" s="917" t="s">
        <v>24</v>
      </c>
      <c r="B9" s="917" t="s">
        <v>37</v>
      </c>
      <c r="C9" s="821" t="s">
        <v>862</v>
      </c>
      <c r="D9" s="823"/>
      <c r="E9" s="821" t="s">
        <v>38</v>
      </c>
      <c r="F9" s="823"/>
      <c r="G9" s="821" t="s">
        <v>39</v>
      </c>
      <c r="H9" s="823"/>
      <c r="I9" s="834" t="s">
        <v>107</v>
      </c>
      <c r="J9" s="834"/>
      <c r="K9" s="917" t="s">
        <v>236</v>
      </c>
      <c r="O9" s="9"/>
      <c r="P9" s="12"/>
    </row>
    <row r="10" spans="1:16" s="14" customFormat="1" ht="42.6" customHeight="1">
      <c r="A10" s="918"/>
      <c r="B10" s="918"/>
      <c r="C10" s="5" t="s">
        <v>40</v>
      </c>
      <c r="D10" s="5" t="s">
        <v>106</v>
      </c>
      <c r="E10" s="5" t="s">
        <v>40</v>
      </c>
      <c r="F10" s="5" t="s">
        <v>106</v>
      </c>
      <c r="G10" s="5" t="s">
        <v>40</v>
      </c>
      <c r="H10" s="5" t="s">
        <v>106</v>
      </c>
      <c r="I10" s="5" t="s">
        <v>136</v>
      </c>
      <c r="J10" s="5" t="s">
        <v>137</v>
      </c>
      <c r="K10" s="918"/>
    </row>
    <row r="11" spans="1:16">
      <c r="A11" s="146">
        <v>1</v>
      </c>
      <c r="B11" s="146">
        <v>2</v>
      </c>
      <c r="C11" s="146">
        <v>3</v>
      </c>
      <c r="D11" s="146">
        <v>4</v>
      </c>
      <c r="E11" s="146">
        <v>5</v>
      </c>
      <c r="F11" s="146">
        <v>6</v>
      </c>
      <c r="G11" s="146">
        <v>7</v>
      </c>
      <c r="H11" s="146">
        <v>8</v>
      </c>
      <c r="I11" s="146">
        <v>9</v>
      </c>
      <c r="J11" s="146">
        <v>10</v>
      </c>
      <c r="K11" s="3">
        <v>11</v>
      </c>
    </row>
    <row r="12" spans="1:16" ht="15">
      <c r="A12" s="291">
        <v>1</v>
      </c>
      <c r="B12" s="9" t="s">
        <v>912</v>
      </c>
      <c r="C12" s="585">
        <v>25</v>
      </c>
      <c r="D12" s="586">
        <v>15</v>
      </c>
      <c r="E12" s="585">
        <v>25</v>
      </c>
      <c r="F12" s="586">
        <v>15</v>
      </c>
      <c r="G12" s="585">
        <v>0</v>
      </c>
      <c r="H12" s="586">
        <f>D12-F12</f>
        <v>0</v>
      </c>
      <c r="I12" s="585">
        <v>0</v>
      </c>
      <c r="J12" s="586">
        <f>D12-F12-H12</f>
        <v>0</v>
      </c>
      <c r="K12" s="585">
        <v>426</v>
      </c>
    </row>
    <row r="13" spans="1:16" ht="15">
      <c r="A13" s="291">
        <v>2</v>
      </c>
      <c r="B13" s="9" t="s">
        <v>913</v>
      </c>
      <c r="C13" s="585">
        <v>25</v>
      </c>
      <c r="D13" s="586">
        <v>15</v>
      </c>
      <c r="E13" s="585">
        <v>25</v>
      </c>
      <c r="F13" s="586">
        <v>15</v>
      </c>
      <c r="G13" s="585">
        <v>0</v>
      </c>
      <c r="H13" s="586">
        <f t="shared" ref="H13:H41" si="0">D13-F13</f>
        <v>0</v>
      </c>
      <c r="I13" s="585">
        <v>0</v>
      </c>
      <c r="J13" s="586">
        <f t="shared" ref="J13:J43" si="1">D13-F13-H13</f>
        <v>0</v>
      </c>
      <c r="K13" s="585">
        <v>389</v>
      </c>
    </row>
    <row r="14" spans="1:16" ht="15">
      <c r="A14" s="291">
        <v>3</v>
      </c>
      <c r="B14" s="9" t="s">
        <v>914</v>
      </c>
      <c r="C14" s="585">
        <v>1627</v>
      </c>
      <c r="D14" s="586">
        <v>3769.61</v>
      </c>
      <c r="E14" s="585">
        <v>1627</v>
      </c>
      <c r="F14" s="586">
        <v>3769.61</v>
      </c>
      <c r="G14" s="585">
        <v>0</v>
      </c>
      <c r="H14" s="586">
        <f t="shared" si="0"/>
        <v>0</v>
      </c>
      <c r="I14" s="585">
        <v>0</v>
      </c>
      <c r="J14" s="586">
        <f t="shared" si="1"/>
        <v>0</v>
      </c>
      <c r="K14" s="585">
        <v>201</v>
      </c>
    </row>
    <row r="15" spans="1:16" ht="15">
      <c r="A15" s="291">
        <v>4</v>
      </c>
      <c r="B15" s="9" t="s">
        <v>915</v>
      </c>
      <c r="C15" s="585">
        <v>1455</v>
      </c>
      <c r="D15" s="586">
        <v>2277.36</v>
      </c>
      <c r="E15" s="585">
        <v>1455</v>
      </c>
      <c r="F15" s="586">
        <v>2277.36</v>
      </c>
      <c r="G15" s="585">
        <v>0</v>
      </c>
      <c r="H15" s="586">
        <f t="shared" si="0"/>
        <v>0</v>
      </c>
      <c r="I15" s="585">
        <v>0</v>
      </c>
      <c r="J15" s="586">
        <f t="shared" si="1"/>
        <v>0</v>
      </c>
      <c r="K15" s="585">
        <v>451</v>
      </c>
    </row>
    <row r="16" spans="1:16" ht="15">
      <c r="A16" s="291">
        <v>5</v>
      </c>
      <c r="B16" s="9" t="s">
        <v>916</v>
      </c>
      <c r="C16" s="585">
        <v>2307</v>
      </c>
      <c r="D16" s="586">
        <v>1673.3</v>
      </c>
      <c r="E16" s="585">
        <v>2307</v>
      </c>
      <c r="F16" s="586">
        <v>1673.3</v>
      </c>
      <c r="G16" s="585">
        <v>0</v>
      </c>
      <c r="H16" s="586">
        <f t="shared" si="0"/>
        <v>0</v>
      </c>
      <c r="I16" s="585">
        <v>0</v>
      </c>
      <c r="J16" s="586">
        <f t="shared" si="1"/>
        <v>0</v>
      </c>
      <c r="K16" s="585">
        <v>236</v>
      </c>
    </row>
    <row r="17" spans="1:11" ht="15">
      <c r="A17" s="291">
        <v>6</v>
      </c>
      <c r="B17" s="9" t="s">
        <v>917</v>
      </c>
      <c r="C17" s="585">
        <v>862</v>
      </c>
      <c r="D17" s="586">
        <v>570.88</v>
      </c>
      <c r="E17" s="585">
        <v>862</v>
      </c>
      <c r="F17" s="586">
        <v>570.88</v>
      </c>
      <c r="G17" s="585">
        <v>0</v>
      </c>
      <c r="H17" s="586">
        <f t="shared" si="0"/>
        <v>0</v>
      </c>
      <c r="I17" s="585">
        <v>0</v>
      </c>
      <c r="J17" s="586">
        <f t="shared" si="1"/>
        <v>0</v>
      </c>
      <c r="K17" s="585">
        <v>321</v>
      </c>
    </row>
    <row r="18" spans="1:11" ht="15">
      <c r="A18" s="291">
        <v>7</v>
      </c>
      <c r="B18" s="9" t="s">
        <v>918</v>
      </c>
      <c r="C18" s="585">
        <v>1063</v>
      </c>
      <c r="D18" s="586">
        <v>1483.25</v>
      </c>
      <c r="E18" s="585">
        <v>990</v>
      </c>
      <c r="F18" s="586">
        <v>1345</v>
      </c>
      <c r="G18" s="585">
        <v>23</v>
      </c>
      <c r="H18" s="586">
        <v>31.16</v>
      </c>
      <c r="I18" s="585">
        <v>44</v>
      </c>
      <c r="J18" s="586">
        <v>107.09</v>
      </c>
      <c r="K18" s="585">
        <v>392</v>
      </c>
    </row>
    <row r="19" spans="1:11" ht="15">
      <c r="A19" s="291">
        <v>8</v>
      </c>
      <c r="B19" s="9" t="s">
        <v>919</v>
      </c>
      <c r="C19" s="585">
        <v>2180</v>
      </c>
      <c r="D19" s="586">
        <v>1234.45</v>
      </c>
      <c r="E19" s="585">
        <v>2180</v>
      </c>
      <c r="F19" s="586">
        <v>1234.45</v>
      </c>
      <c r="G19" s="585">
        <v>0</v>
      </c>
      <c r="H19" s="586">
        <f t="shared" si="0"/>
        <v>0</v>
      </c>
      <c r="I19" s="585">
        <v>0</v>
      </c>
      <c r="J19" s="586">
        <f t="shared" si="1"/>
        <v>0</v>
      </c>
      <c r="K19" s="585">
        <v>599</v>
      </c>
    </row>
    <row r="20" spans="1:11" ht="15">
      <c r="A20" s="291">
        <v>9</v>
      </c>
      <c r="B20" s="9" t="s">
        <v>920</v>
      </c>
      <c r="C20" s="585">
        <v>732</v>
      </c>
      <c r="D20" s="586">
        <v>876.68</v>
      </c>
      <c r="E20" s="585">
        <v>731</v>
      </c>
      <c r="F20" s="586">
        <v>872.46999999999991</v>
      </c>
      <c r="G20" s="585">
        <v>0</v>
      </c>
      <c r="H20" s="586">
        <v>0</v>
      </c>
      <c r="I20" s="585">
        <v>1</v>
      </c>
      <c r="J20" s="586">
        <v>4.21</v>
      </c>
      <c r="K20" s="585">
        <v>445</v>
      </c>
    </row>
    <row r="21" spans="1:11" ht="15">
      <c r="A21" s="291">
        <v>10</v>
      </c>
      <c r="B21" s="9" t="s">
        <v>921</v>
      </c>
      <c r="C21" s="585">
        <v>1662</v>
      </c>
      <c r="D21" s="586">
        <v>1313.06</v>
      </c>
      <c r="E21" s="585">
        <v>1662</v>
      </c>
      <c r="F21" s="586">
        <v>1313.06</v>
      </c>
      <c r="G21" s="585">
        <v>0</v>
      </c>
      <c r="H21" s="586">
        <f t="shared" si="0"/>
        <v>0</v>
      </c>
      <c r="I21" s="585">
        <v>0</v>
      </c>
      <c r="J21" s="586">
        <f t="shared" si="1"/>
        <v>0</v>
      </c>
      <c r="K21" s="585">
        <v>687</v>
      </c>
    </row>
    <row r="22" spans="1:11" ht="15">
      <c r="A22" s="291">
        <v>11</v>
      </c>
      <c r="B22" s="9" t="s">
        <v>922</v>
      </c>
      <c r="C22" s="585">
        <v>1020</v>
      </c>
      <c r="D22" s="586">
        <v>709.77</v>
      </c>
      <c r="E22" s="585">
        <v>1020</v>
      </c>
      <c r="F22" s="586">
        <v>709.77</v>
      </c>
      <c r="G22" s="585">
        <v>0</v>
      </c>
      <c r="H22" s="586">
        <f t="shared" si="0"/>
        <v>0</v>
      </c>
      <c r="I22" s="585">
        <v>0</v>
      </c>
      <c r="J22" s="586">
        <f t="shared" si="1"/>
        <v>0</v>
      </c>
      <c r="K22" s="585">
        <v>437</v>
      </c>
    </row>
    <row r="23" spans="1:11" ht="15">
      <c r="A23" s="291">
        <v>12</v>
      </c>
      <c r="B23" s="9" t="s">
        <v>923</v>
      </c>
      <c r="C23" s="585">
        <v>1883</v>
      </c>
      <c r="D23" s="586">
        <v>2929.15</v>
      </c>
      <c r="E23" s="585">
        <v>1883</v>
      </c>
      <c r="F23" s="586">
        <v>2929.15</v>
      </c>
      <c r="G23" s="585">
        <v>0</v>
      </c>
      <c r="H23" s="586">
        <f t="shared" si="0"/>
        <v>0</v>
      </c>
      <c r="I23" s="585">
        <v>0</v>
      </c>
      <c r="J23" s="586">
        <f t="shared" si="1"/>
        <v>0</v>
      </c>
      <c r="K23" s="585">
        <v>426</v>
      </c>
    </row>
    <row r="24" spans="1:11" ht="15">
      <c r="A24" s="291">
        <v>13</v>
      </c>
      <c r="B24" s="9" t="s">
        <v>924</v>
      </c>
      <c r="C24" s="585">
        <v>1496</v>
      </c>
      <c r="D24" s="586">
        <v>1531.97</v>
      </c>
      <c r="E24" s="585">
        <v>1496</v>
      </c>
      <c r="F24" s="586">
        <v>1531.97</v>
      </c>
      <c r="G24" s="585">
        <v>0</v>
      </c>
      <c r="H24" s="586">
        <f t="shared" si="0"/>
        <v>0</v>
      </c>
      <c r="I24" s="585">
        <v>0</v>
      </c>
      <c r="J24" s="586">
        <f t="shared" si="1"/>
        <v>0</v>
      </c>
      <c r="K24" s="585">
        <v>489</v>
      </c>
    </row>
    <row r="25" spans="1:11" ht="15">
      <c r="A25" s="291">
        <v>14</v>
      </c>
      <c r="B25" s="9" t="s">
        <v>925</v>
      </c>
      <c r="C25" s="585">
        <v>653</v>
      </c>
      <c r="D25" s="586">
        <v>1175.9000000000001</v>
      </c>
      <c r="E25" s="585">
        <f>630+23</f>
        <v>653</v>
      </c>
      <c r="F25" s="586">
        <v>1176</v>
      </c>
      <c r="G25" s="585">
        <v>0</v>
      </c>
      <c r="H25" s="586">
        <v>0</v>
      </c>
      <c r="I25" s="585">
        <v>0</v>
      </c>
      <c r="J25" s="586">
        <v>0</v>
      </c>
      <c r="K25" s="585">
        <v>272</v>
      </c>
    </row>
    <row r="26" spans="1:11" ht="15">
      <c r="A26" s="291">
        <v>15</v>
      </c>
      <c r="B26" s="9" t="s">
        <v>926</v>
      </c>
      <c r="C26" s="585">
        <v>425</v>
      </c>
      <c r="D26" s="586">
        <v>643.27</v>
      </c>
      <c r="E26" s="585">
        <v>404</v>
      </c>
      <c r="F26" s="586">
        <v>517.79999999999995</v>
      </c>
      <c r="G26" s="585">
        <v>0</v>
      </c>
      <c r="H26" s="586">
        <v>0</v>
      </c>
      <c r="I26" s="585">
        <v>21</v>
      </c>
      <c r="J26" s="586">
        <v>125.47000000000001</v>
      </c>
      <c r="K26" s="585">
        <v>89</v>
      </c>
    </row>
    <row r="27" spans="1:11" ht="15">
      <c r="A27" s="291">
        <v>16</v>
      </c>
      <c r="B27" s="9" t="s">
        <v>927</v>
      </c>
      <c r="C27" s="585">
        <v>2246</v>
      </c>
      <c r="D27" s="586">
        <v>2451.62</v>
      </c>
      <c r="E27" s="585">
        <v>2246</v>
      </c>
      <c r="F27" s="586">
        <v>2451.62</v>
      </c>
      <c r="G27" s="585">
        <v>0</v>
      </c>
      <c r="H27" s="586">
        <f t="shared" si="0"/>
        <v>0</v>
      </c>
      <c r="I27" s="585">
        <v>0</v>
      </c>
      <c r="J27" s="586">
        <f t="shared" si="1"/>
        <v>0</v>
      </c>
      <c r="K27" s="585">
        <v>431</v>
      </c>
    </row>
    <row r="28" spans="1:11" ht="15">
      <c r="A28" s="291">
        <v>17</v>
      </c>
      <c r="B28" s="9" t="s">
        <v>928</v>
      </c>
      <c r="C28" s="585">
        <v>1309</v>
      </c>
      <c r="D28" s="586">
        <v>1390.16</v>
      </c>
      <c r="E28" s="585">
        <v>1309</v>
      </c>
      <c r="F28" s="586">
        <v>1390.16</v>
      </c>
      <c r="G28" s="585">
        <v>0</v>
      </c>
      <c r="H28" s="586">
        <f t="shared" si="0"/>
        <v>0</v>
      </c>
      <c r="I28" s="585">
        <v>0</v>
      </c>
      <c r="J28" s="586">
        <f t="shared" si="1"/>
        <v>0</v>
      </c>
      <c r="K28" s="585">
        <v>292</v>
      </c>
    </row>
    <row r="29" spans="1:11" ht="15">
      <c r="A29" s="291">
        <v>18</v>
      </c>
      <c r="B29" s="9" t="s">
        <v>929</v>
      </c>
      <c r="C29" s="585">
        <v>1169</v>
      </c>
      <c r="D29" s="586">
        <v>1443.43</v>
      </c>
      <c r="E29" s="585">
        <v>1169</v>
      </c>
      <c r="F29" s="586">
        <v>1443.43</v>
      </c>
      <c r="G29" s="585">
        <v>0</v>
      </c>
      <c r="H29" s="586">
        <f t="shared" si="0"/>
        <v>0</v>
      </c>
      <c r="I29" s="585">
        <v>0</v>
      </c>
      <c r="J29" s="586">
        <f t="shared" si="1"/>
        <v>0</v>
      </c>
      <c r="K29" s="585">
        <v>282</v>
      </c>
    </row>
    <row r="30" spans="1:11" ht="15">
      <c r="A30" s="291">
        <v>19</v>
      </c>
      <c r="B30" s="9" t="s">
        <v>930</v>
      </c>
      <c r="C30" s="585">
        <v>786</v>
      </c>
      <c r="D30" s="586">
        <v>1684.69</v>
      </c>
      <c r="E30" s="585">
        <v>786</v>
      </c>
      <c r="F30" s="586">
        <v>1684.69</v>
      </c>
      <c r="G30" s="585">
        <v>0</v>
      </c>
      <c r="H30" s="586">
        <f t="shared" si="0"/>
        <v>0</v>
      </c>
      <c r="I30" s="585">
        <v>0</v>
      </c>
      <c r="J30" s="586">
        <f t="shared" si="1"/>
        <v>0</v>
      </c>
      <c r="K30" s="585">
        <v>217</v>
      </c>
    </row>
    <row r="31" spans="1:11" ht="15">
      <c r="A31" s="291">
        <v>20</v>
      </c>
      <c r="B31" s="9" t="s">
        <v>931</v>
      </c>
      <c r="C31" s="585">
        <v>50</v>
      </c>
      <c r="D31" s="586">
        <v>22.5</v>
      </c>
      <c r="E31" s="585">
        <v>50</v>
      </c>
      <c r="F31" s="586">
        <v>22.5</v>
      </c>
      <c r="G31" s="585">
        <v>0</v>
      </c>
      <c r="H31" s="586">
        <f t="shared" si="0"/>
        <v>0</v>
      </c>
      <c r="I31" s="585">
        <v>0</v>
      </c>
      <c r="J31" s="586">
        <f t="shared" si="1"/>
        <v>0</v>
      </c>
      <c r="K31" s="585">
        <v>485</v>
      </c>
    </row>
    <row r="32" spans="1:11" ht="15">
      <c r="A32" s="291">
        <v>21</v>
      </c>
      <c r="B32" s="9" t="s">
        <v>932</v>
      </c>
      <c r="C32" s="585">
        <v>1049</v>
      </c>
      <c r="D32" s="586">
        <v>892.41</v>
      </c>
      <c r="E32" s="585">
        <v>1049</v>
      </c>
      <c r="F32" s="586">
        <v>892.41</v>
      </c>
      <c r="G32" s="585">
        <v>0</v>
      </c>
      <c r="H32" s="586">
        <f t="shared" si="0"/>
        <v>0</v>
      </c>
      <c r="I32" s="585">
        <v>0</v>
      </c>
      <c r="J32" s="586">
        <f t="shared" si="1"/>
        <v>0</v>
      </c>
      <c r="K32" s="585">
        <v>152</v>
      </c>
    </row>
    <row r="33" spans="1:11" ht="15">
      <c r="A33" s="291">
        <v>22</v>
      </c>
      <c r="B33" s="9" t="s">
        <v>933</v>
      </c>
      <c r="C33" s="585">
        <v>1090</v>
      </c>
      <c r="D33" s="586">
        <v>970.77</v>
      </c>
      <c r="E33" s="585">
        <v>1090</v>
      </c>
      <c r="F33" s="586">
        <v>970.77</v>
      </c>
      <c r="G33" s="585">
        <v>0</v>
      </c>
      <c r="H33" s="586">
        <v>0</v>
      </c>
      <c r="I33" s="585">
        <v>0</v>
      </c>
      <c r="J33" s="586">
        <v>0</v>
      </c>
      <c r="K33" s="585">
        <v>87</v>
      </c>
    </row>
    <row r="34" spans="1:11" ht="15">
      <c r="A34" s="291">
        <v>23</v>
      </c>
      <c r="B34" s="9" t="s">
        <v>934</v>
      </c>
      <c r="C34" s="585">
        <v>1105</v>
      </c>
      <c r="D34" s="586">
        <v>1849.61</v>
      </c>
      <c r="E34" s="585">
        <v>1105</v>
      </c>
      <c r="F34" s="586">
        <v>1849.61</v>
      </c>
      <c r="G34" s="585">
        <v>0</v>
      </c>
      <c r="H34" s="586">
        <f t="shared" si="0"/>
        <v>0</v>
      </c>
      <c r="I34" s="585">
        <v>0</v>
      </c>
      <c r="J34" s="586">
        <f t="shared" si="1"/>
        <v>0</v>
      </c>
      <c r="K34" s="585">
        <v>252</v>
      </c>
    </row>
    <row r="35" spans="1:11" ht="15">
      <c r="A35" s="291">
        <v>24</v>
      </c>
      <c r="B35" s="9" t="s">
        <v>935</v>
      </c>
      <c r="C35" s="585">
        <v>648</v>
      </c>
      <c r="D35" s="586">
        <v>1310.74</v>
      </c>
      <c r="E35" s="585">
        <v>648</v>
      </c>
      <c r="F35" s="586">
        <v>1310.74</v>
      </c>
      <c r="G35" s="585">
        <v>0</v>
      </c>
      <c r="H35" s="586">
        <f t="shared" si="0"/>
        <v>0</v>
      </c>
      <c r="I35" s="585">
        <v>0</v>
      </c>
      <c r="J35" s="586">
        <f t="shared" si="1"/>
        <v>0</v>
      </c>
      <c r="K35" s="585">
        <v>201</v>
      </c>
    </row>
    <row r="36" spans="1:11" ht="15">
      <c r="A36" s="291">
        <v>25</v>
      </c>
      <c r="B36" s="9" t="s">
        <v>936</v>
      </c>
      <c r="C36" s="585">
        <v>1183</v>
      </c>
      <c r="D36" s="586">
        <v>2427.4</v>
      </c>
      <c r="E36" s="585">
        <v>1183</v>
      </c>
      <c r="F36" s="586">
        <v>2427.4</v>
      </c>
      <c r="G36" s="585">
        <v>0</v>
      </c>
      <c r="H36" s="586">
        <f t="shared" si="0"/>
        <v>0</v>
      </c>
      <c r="I36" s="585">
        <v>0</v>
      </c>
      <c r="J36" s="586">
        <f t="shared" si="1"/>
        <v>0</v>
      </c>
      <c r="K36" s="585">
        <v>345</v>
      </c>
    </row>
    <row r="37" spans="1:11" ht="15">
      <c r="A37" s="291">
        <v>26</v>
      </c>
      <c r="B37" s="9" t="s">
        <v>937</v>
      </c>
      <c r="C37" s="585">
        <v>1649</v>
      </c>
      <c r="D37" s="586">
        <v>2945.8</v>
      </c>
      <c r="E37" s="585">
        <v>1649</v>
      </c>
      <c r="F37" s="586">
        <v>2945.8</v>
      </c>
      <c r="G37" s="585">
        <v>0</v>
      </c>
      <c r="H37" s="586">
        <f t="shared" si="0"/>
        <v>0</v>
      </c>
      <c r="I37" s="585">
        <v>0</v>
      </c>
      <c r="J37" s="586">
        <f t="shared" si="1"/>
        <v>0</v>
      </c>
      <c r="K37" s="585">
        <v>453</v>
      </c>
    </row>
    <row r="38" spans="1:11" ht="15">
      <c r="A38" s="291">
        <v>27</v>
      </c>
      <c r="B38" s="9" t="s">
        <v>938</v>
      </c>
      <c r="C38" s="585">
        <v>1313</v>
      </c>
      <c r="D38" s="586">
        <v>1621.71</v>
      </c>
      <c r="E38" s="585">
        <v>1313</v>
      </c>
      <c r="F38" s="586">
        <v>1621.71</v>
      </c>
      <c r="G38" s="585">
        <v>0</v>
      </c>
      <c r="H38" s="586">
        <f t="shared" si="0"/>
        <v>0</v>
      </c>
      <c r="I38" s="585">
        <v>0</v>
      </c>
      <c r="J38" s="586">
        <f t="shared" si="1"/>
        <v>0</v>
      </c>
      <c r="K38" s="585">
        <v>151</v>
      </c>
    </row>
    <row r="39" spans="1:11" ht="15">
      <c r="A39" s="291">
        <v>28</v>
      </c>
      <c r="B39" s="9" t="s">
        <v>939</v>
      </c>
      <c r="C39" s="585">
        <v>1692</v>
      </c>
      <c r="D39" s="586">
        <v>2416.98</v>
      </c>
      <c r="E39" s="585">
        <v>1688</v>
      </c>
      <c r="F39" s="586">
        <v>2400.46</v>
      </c>
      <c r="G39" s="585">
        <v>0</v>
      </c>
      <c r="H39" s="586">
        <v>0</v>
      </c>
      <c r="I39" s="585">
        <v>4</v>
      </c>
      <c r="J39" s="586">
        <v>16.52</v>
      </c>
      <c r="K39" s="585">
        <v>491</v>
      </c>
    </row>
    <row r="40" spans="1:11" ht="15">
      <c r="A40" s="291">
        <v>29</v>
      </c>
      <c r="B40" s="9" t="s">
        <v>940</v>
      </c>
      <c r="C40" s="585">
        <v>1062</v>
      </c>
      <c r="D40" s="586">
        <v>3090.88</v>
      </c>
      <c r="E40" s="585">
        <v>1062</v>
      </c>
      <c r="F40" s="586">
        <v>3090.88</v>
      </c>
      <c r="G40" s="585">
        <v>0</v>
      </c>
      <c r="H40" s="586">
        <v>0</v>
      </c>
      <c r="I40" s="585">
        <v>0</v>
      </c>
      <c r="J40" s="586">
        <v>0</v>
      </c>
      <c r="K40" s="585">
        <v>681</v>
      </c>
    </row>
    <row r="41" spans="1:11" ht="15">
      <c r="A41" s="291">
        <v>30</v>
      </c>
      <c r="B41" s="9" t="s">
        <v>941</v>
      </c>
      <c r="C41" s="585">
        <v>1161</v>
      </c>
      <c r="D41" s="586">
        <v>1549.78</v>
      </c>
      <c r="E41" s="585">
        <v>1161</v>
      </c>
      <c r="F41" s="586">
        <v>1549.7834999999998</v>
      </c>
      <c r="G41" s="585">
        <v>0</v>
      </c>
      <c r="H41" s="586">
        <f t="shared" si="0"/>
        <v>-3.4999999998035491E-3</v>
      </c>
      <c r="I41" s="585">
        <v>0</v>
      </c>
      <c r="J41" s="586">
        <f t="shared" si="1"/>
        <v>0</v>
      </c>
      <c r="K41" s="585">
        <v>496</v>
      </c>
    </row>
    <row r="42" spans="1:11" ht="15">
      <c r="A42" s="291">
        <v>31</v>
      </c>
      <c r="B42" s="9" t="s">
        <v>942</v>
      </c>
      <c r="C42" s="585">
        <f>712+1007</f>
        <v>1719</v>
      </c>
      <c r="D42" s="586">
        <v>3077.67</v>
      </c>
      <c r="E42" s="585">
        <v>838</v>
      </c>
      <c r="F42" s="586">
        <v>3042.2465000000088</v>
      </c>
      <c r="G42" s="585">
        <v>11</v>
      </c>
      <c r="H42" s="586">
        <v>35.42</v>
      </c>
      <c r="I42" s="585">
        <v>870</v>
      </c>
      <c r="J42" s="586">
        <v>0</v>
      </c>
      <c r="K42" s="585">
        <v>50</v>
      </c>
    </row>
    <row r="43" spans="1:11" ht="15">
      <c r="A43" s="291">
        <v>32</v>
      </c>
      <c r="B43" s="9" t="s">
        <v>943</v>
      </c>
      <c r="C43" s="585">
        <v>938</v>
      </c>
      <c r="D43" s="586">
        <v>799.93</v>
      </c>
      <c r="E43" s="585">
        <v>938</v>
      </c>
      <c r="F43" s="586">
        <v>799.93</v>
      </c>
      <c r="G43" s="585">
        <v>0</v>
      </c>
      <c r="H43" s="586">
        <v>0</v>
      </c>
      <c r="I43" s="585">
        <v>0</v>
      </c>
      <c r="J43" s="586">
        <f t="shared" si="1"/>
        <v>0</v>
      </c>
      <c r="K43" s="585">
        <v>215</v>
      </c>
    </row>
    <row r="44" spans="1:11" ht="15">
      <c r="A44" s="291">
        <v>33</v>
      </c>
      <c r="B44" s="9" t="s">
        <v>944</v>
      </c>
      <c r="C44" s="587">
        <v>1852</v>
      </c>
      <c r="D44" s="588">
        <v>2435.1</v>
      </c>
      <c r="E44" s="587">
        <v>1852</v>
      </c>
      <c r="F44" s="588">
        <v>2435.1</v>
      </c>
      <c r="G44" s="587">
        <v>0</v>
      </c>
      <c r="H44" s="586">
        <v>0</v>
      </c>
      <c r="I44" s="587">
        <v>0</v>
      </c>
      <c r="J44" s="586">
        <v>0</v>
      </c>
      <c r="K44" s="587">
        <v>59</v>
      </c>
    </row>
    <row r="45" spans="1:11" ht="15">
      <c r="A45" s="291">
        <v>34</v>
      </c>
      <c r="B45" s="9" t="s">
        <v>945</v>
      </c>
      <c r="C45" s="587">
        <v>1041</v>
      </c>
      <c r="D45" s="588">
        <v>1329.58</v>
      </c>
      <c r="E45" s="587">
        <v>849</v>
      </c>
      <c r="F45" s="588">
        <v>1259.4000000000001</v>
      </c>
      <c r="G45" s="587">
        <v>23</v>
      </c>
      <c r="H45" s="586">
        <v>43.67</v>
      </c>
      <c r="I45" s="587">
        <v>175</v>
      </c>
      <c r="J45" s="586">
        <v>26.41</v>
      </c>
      <c r="K45" s="587">
        <v>0</v>
      </c>
    </row>
    <row r="46" spans="1:11" s="12" customFormat="1">
      <c r="A46" s="3" t="s">
        <v>17</v>
      </c>
      <c r="B46" s="9"/>
      <c r="C46" s="589">
        <f t="shared" ref="C46:K46" si="2">SUM(C12:C45)</f>
        <v>40477</v>
      </c>
      <c r="D46" s="590">
        <f>SUM(D12:D45)</f>
        <v>53929.41</v>
      </c>
      <c r="E46" s="589">
        <f t="shared" si="2"/>
        <v>39305</v>
      </c>
      <c r="F46" s="590">
        <f>SUM(F12:F45)</f>
        <v>53539.460000000006</v>
      </c>
      <c r="G46" s="589">
        <f t="shared" si="2"/>
        <v>57</v>
      </c>
      <c r="H46" s="590">
        <f>SUM(H12:H45)</f>
        <v>110.2465000000002</v>
      </c>
      <c r="I46" s="589">
        <f t="shared" si="2"/>
        <v>1115</v>
      </c>
      <c r="J46" s="590">
        <f t="shared" si="2"/>
        <v>279.70000000000005</v>
      </c>
      <c r="K46" s="589">
        <f t="shared" si="2"/>
        <v>11200</v>
      </c>
    </row>
    <row r="47" spans="1:11" s="12" customFormat="1">
      <c r="A47" s="10" t="s">
        <v>41</v>
      </c>
    </row>
    <row r="48" spans="1:11" s="12" customFormat="1">
      <c r="A48" s="10"/>
    </row>
    <row r="49" spans="1:13" s="12" customFormat="1">
      <c r="A49" s="10"/>
      <c r="E49" s="605"/>
      <c r="F49" s="605"/>
      <c r="G49" s="605"/>
      <c r="H49" s="710"/>
      <c r="I49" s="605"/>
      <c r="J49" s="706"/>
    </row>
    <row r="50" spans="1:13" s="12" customFormat="1">
      <c r="A50" s="10"/>
      <c r="E50" s="605"/>
      <c r="F50" s="706"/>
      <c r="H50" s="706"/>
      <c r="J50" s="706"/>
    </row>
    <row r="51" spans="1:13" s="15" customFormat="1" ht="13.9" customHeight="1">
      <c r="B51" s="803" t="s">
        <v>906</v>
      </c>
      <c r="C51" s="803"/>
      <c r="D51" s="803"/>
      <c r="E51" s="82"/>
      <c r="F51" s="82"/>
      <c r="G51" s="705"/>
      <c r="H51" s="705"/>
      <c r="I51" s="804" t="s">
        <v>12</v>
      </c>
      <c r="J51" s="804"/>
      <c r="K51" s="804"/>
      <c r="L51" s="82"/>
      <c r="M51" s="82"/>
    </row>
    <row r="52" spans="1:13" s="15" customFormat="1" ht="13.15" customHeight="1">
      <c r="B52" s="804" t="s">
        <v>907</v>
      </c>
      <c r="C52" s="804"/>
      <c r="D52" s="804"/>
      <c r="E52" s="367"/>
      <c r="F52" s="367"/>
      <c r="G52" s="367"/>
      <c r="H52" s="367"/>
      <c r="I52" s="804" t="s">
        <v>13</v>
      </c>
      <c r="J52" s="804"/>
      <c r="K52" s="804"/>
      <c r="L52" s="82"/>
      <c r="M52" s="82"/>
    </row>
    <row r="53" spans="1:13" s="15" customFormat="1" ht="13.15" customHeight="1">
      <c r="B53" s="804" t="s">
        <v>908</v>
      </c>
      <c r="C53" s="804"/>
      <c r="D53" s="804"/>
      <c r="E53" s="367"/>
      <c r="F53" s="367"/>
      <c r="G53" s="367"/>
      <c r="H53" s="367"/>
      <c r="I53" s="804" t="s">
        <v>18</v>
      </c>
      <c r="J53" s="804"/>
      <c r="K53" s="804"/>
      <c r="L53" s="82"/>
      <c r="M53" s="82"/>
    </row>
    <row r="54" spans="1:13" s="15" customFormat="1">
      <c r="A54" s="14" t="s">
        <v>21</v>
      </c>
      <c r="B54" s="14"/>
      <c r="C54" s="14"/>
      <c r="D54" s="14"/>
      <c r="E54" s="14"/>
      <c r="F54" s="701"/>
      <c r="G54" s="700"/>
      <c r="I54" s="803" t="s">
        <v>22</v>
      </c>
      <c r="J54" s="803"/>
      <c r="K54" s="803"/>
    </row>
    <row r="55" spans="1:13" s="15" customFormat="1">
      <c r="A55" s="14"/>
    </row>
    <row r="56" spans="1:13">
      <c r="A56" s="959"/>
      <c r="B56" s="959"/>
      <c r="C56" s="959"/>
      <c r="D56" s="959"/>
      <c r="E56" s="959"/>
      <c r="F56" s="959"/>
      <c r="G56" s="959"/>
      <c r="H56" s="959"/>
      <c r="I56" s="959"/>
      <c r="J56" s="959"/>
    </row>
  </sheetData>
  <mergeCells count="24">
    <mergeCell ref="I51:K51"/>
    <mergeCell ref="B51:D51"/>
    <mergeCell ref="A56:J56"/>
    <mergeCell ref="E9:F9"/>
    <mergeCell ref="C9:D9"/>
    <mergeCell ref="I52:K52"/>
    <mergeCell ref="I53:K53"/>
    <mergeCell ref="I54:K54"/>
    <mergeCell ref="B52:D52"/>
    <mergeCell ref="B53:D53"/>
    <mergeCell ref="K9:K10"/>
    <mergeCell ref="B9:B10"/>
    <mergeCell ref="I1:J1"/>
    <mergeCell ref="G9:H9"/>
    <mergeCell ref="I9:J9"/>
    <mergeCell ref="D1:E1"/>
    <mergeCell ref="A9:A10"/>
    <mergeCell ref="A2:J2"/>
    <mergeCell ref="C8:J8"/>
    <mergeCell ref="E7:H7"/>
    <mergeCell ref="A3:J3"/>
    <mergeCell ref="I7:K7"/>
    <mergeCell ref="A7:B7"/>
    <mergeCell ref="A5:K5"/>
  </mergeCells>
  <phoneticPr fontId="0" type="noConversion"/>
  <printOptions horizontalCentered="1"/>
  <pageMargins left="0.70866141732283472" right="0.70866141732283472" top="0.23622047244094491" bottom="0" header="0.31496062992125984" footer="0.31496062992125984"/>
  <pageSetup paperSize="9" scale="71" orientation="landscape" r:id="rId1"/>
</worksheet>
</file>

<file path=xl/worksheets/sheet38.xml><?xml version="1.0" encoding="utf-8"?>
<worksheet xmlns="http://schemas.openxmlformats.org/spreadsheetml/2006/main" xmlns:r="http://schemas.openxmlformats.org/officeDocument/2006/relationships">
  <sheetPr codeName="Sheet38">
    <pageSetUpPr fitToPage="1"/>
  </sheetPr>
  <dimension ref="A1:S57"/>
  <sheetViews>
    <sheetView view="pageBreakPreview" topLeftCell="A25" zoomScale="90" zoomScaleSheetLayoutView="90" workbookViewId="0">
      <selection activeCell="C33" sqref="C33:I33"/>
    </sheetView>
  </sheetViews>
  <sheetFormatPr defaultRowHeight="12.75"/>
  <cols>
    <col min="2" max="2" width="21.7109375" customWidth="1"/>
    <col min="3" max="3" width="15.1406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c r="D1" s="803"/>
      <c r="E1" s="803"/>
      <c r="H1" s="40"/>
      <c r="J1" s="919" t="s">
        <v>69</v>
      </c>
      <c r="K1" s="919"/>
    </row>
    <row r="2" spans="1:19" ht="15">
      <c r="A2" s="920" t="s">
        <v>0</v>
      </c>
      <c r="B2" s="920"/>
      <c r="C2" s="920"/>
      <c r="D2" s="920"/>
      <c r="E2" s="920"/>
      <c r="F2" s="920"/>
      <c r="G2" s="920"/>
      <c r="H2" s="920"/>
      <c r="I2" s="920"/>
      <c r="J2" s="920"/>
    </row>
    <row r="3" spans="1:19" ht="18">
      <c r="A3" s="931" t="s">
        <v>745</v>
      </c>
      <c r="B3" s="931"/>
      <c r="C3" s="931"/>
      <c r="D3" s="931"/>
      <c r="E3" s="931"/>
      <c r="F3" s="931"/>
      <c r="G3" s="931"/>
      <c r="H3" s="931"/>
      <c r="I3" s="931"/>
      <c r="J3" s="931"/>
    </row>
    <row r="4" spans="1:19" ht="10.5" customHeight="1"/>
    <row r="5" spans="1:19" s="15" customFormat="1" ht="15.75" customHeight="1">
      <c r="A5" s="1017" t="s">
        <v>438</v>
      </c>
      <c r="B5" s="1017"/>
      <c r="C5" s="1017"/>
      <c r="D5" s="1017"/>
      <c r="E5" s="1017"/>
      <c r="F5" s="1017"/>
      <c r="G5" s="1017"/>
      <c r="H5" s="1017"/>
      <c r="I5" s="1017"/>
      <c r="J5" s="1017"/>
      <c r="K5" s="1017"/>
      <c r="L5" s="1017"/>
    </row>
    <row r="6" spans="1:19" s="15" customFormat="1" ht="15.75" customHeight="1">
      <c r="A6" s="43"/>
      <c r="B6" s="43"/>
      <c r="C6" s="43"/>
      <c r="D6" s="43"/>
      <c r="E6" s="43"/>
      <c r="F6" s="43"/>
      <c r="G6" s="43"/>
      <c r="H6" s="43"/>
      <c r="I6" s="43"/>
      <c r="J6" s="43"/>
    </row>
    <row r="7" spans="1:19" s="15" customFormat="1">
      <c r="A7" s="850" t="s">
        <v>911</v>
      </c>
      <c r="B7" s="850"/>
      <c r="I7" s="966" t="s">
        <v>832</v>
      </c>
      <c r="J7" s="966"/>
      <c r="K7" s="966"/>
    </row>
    <row r="8" spans="1:19" s="13" customFormat="1" ht="15.75" hidden="1">
      <c r="C8" s="920" t="s">
        <v>14</v>
      </c>
      <c r="D8" s="920"/>
      <c r="E8" s="920"/>
      <c r="F8" s="920"/>
      <c r="G8" s="920"/>
      <c r="H8" s="920"/>
      <c r="I8" s="920"/>
      <c r="J8" s="920"/>
    </row>
    <row r="9" spans="1:19" ht="30" customHeight="1">
      <c r="A9" s="917" t="s">
        <v>24</v>
      </c>
      <c r="B9" s="917" t="s">
        <v>37</v>
      </c>
      <c r="C9" s="821" t="s">
        <v>982</v>
      </c>
      <c r="D9" s="823"/>
      <c r="E9" s="821" t="s">
        <v>477</v>
      </c>
      <c r="F9" s="823"/>
      <c r="G9" s="821" t="s">
        <v>39</v>
      </c>
      <c r="H9" s="823"/>
      <c r="I9" s="834" t="s">
        <v>107</v>
      </c>
      <c r="J9" s="834"/>
      <c r="K9" s="917" t="s">
        <v>515</v>
      </c>
      <c r="R9" s="9"/>
      <c r="S9" s="12"/>
    </row>
    <row r="10" spans="1:19" s="14" customFormat="1" ht="46.5" customHeight="1">
      <c r="A10" s="918"/>
      <c r="B10" s="918"/>
      <c r="C10" s="457" t="s">
        <v>40</v>
      </c>
      <c r="D10" s="457" t="s">
        <v>106</v>
      </c>
      <c r="E10" s="457" t="s">
        <v>40</v>
      </c>
      <c r="F10" s="457" t="s">
        <v>106</v>
      </c>
      <c r="G10" s="457" t="s">
        <v>40</v>
      </c>
      <c r="H10" s="457" t="s">
        <v>106</v>
      </c>
      <c r="I10" s="457" t="s">
        <v>136</v>
      </c>
      <c r="J10" s="457" t="s">
        <v>137</v>
      </c>
      <c r="K10" s="918"/>
    </row>
    <row r="11" spans="1:19">
      <c r="A11" s="146">
        <v>1</v>
      </c>
      <c r="B11" s="146">
        <v>2</v>
      </c>
      <c r="C11" s="146">
        <v>3</v>
      </c>
      <c r="D11" s="146">
        <v>4</v>
      </c>
      <c r="E11" s="146">
        <v>5</v>
      </c>
      <c r="F11" s="146">
        <v>6</v>
      </c>
      <c r="G11" s="146">
        <v>7</v>
      </c>
      <c r="H11" s="146">
        <v>8</v>
      </c>
      <c r="I11" s="146">
        <v>9</v>
      </c>
      <c r="J11" s="146">
        <v>10</v>
      </c>
      <c r="K11" s="146">
        <v>11</v>
      </c>
    </row>
    <row r="12" spans="1:19" ht="15">
      <c r="A12" s="467">
        <v>1</v>
      </c>
      <c r="B12" s="397" t="s">
        <v>912</v>
      </c>
      <c r="C12" s="468">
        <v>936</v>
      </c>
      <c r="D12" s="469">
        <v>46.757621950153883</v>
      </c>
      <c r="E12" s="468">
        <v>936</v>
      </c>
      <c r="F12" s="469">
        <v>46.757621950153883</v>
      </c>
      <c r="G12" s="468">
        <v>0</v>
      </c>
      <c r="H12" s="468">
        <v>0</v>
      </c>
      <c r="I12" s="468">
        <v>0</v>
      </c>
      <c r="J12" s="468">
        <v>0</v>
      </c>
      <c r="K12" s="468">
        <v>0</v>
      </c>
    </row>
    <row r="13" spans="1:19" ht="15">
      <c r="A13" s="467">
        <v>2</v>
      </c>
      <c r="B13" s="397" t="s">
        <v>913</v>
      </c>
      <c r="C13" s="468">
        <v>1298</v>
      </c>
      <c r="D13" s="469">
        <v>64.942378049846127</v>
      </c>
      <c r="E13" s="468">
        <v>1298</v>
      </c>
      <c r="F13" s="469">
        <v>64.942378049846127</v>
      </c>
      <c r="G13" s="468">
        <v>0</v>
      </c>
      <c r="H13" s="468">
        <v>0</v>
      </c>
      <c r="I13" s="468">
        <v>0</v>
      </c>
      <c r="J13" s="468">
        <v>0</v>
      </c>
      <c r="K13" s="468">
        <v>0</v>
      </c>
    </row>
    <row r="14" spans="1:19" ht="15">
      <c r="A14" s="467">
        <v>3</v>
      </c>
      <c r="B14" s="397" t="s">
        <v>914</v>
      </c>
      <c r="C14" s="468">
        <v>1933</v>
      </c>
      <c r="D14" s="469">
        <v>96.65</v>
      </c>
      <c r="E14" s="468">
        <v>1933</v>
      </c>
      <c r="F14" s="469">
        <v>96.65</v>
      </c>
      <c r="G14" s="468">
        <v>0</v>
      </c>
      <c r="H14" s="468">
        <v>0</v>
      </c>
      <c r="I14" s="468">
        <v>0</v>
      </c>
      <c r="J14" s="468">
        <v>0</v>
      </c>
      <c r="K14" s="468">
        <v>0</v>
      </c>
    </row>
    <row r="15" spans="1:19" ht="15">
      <c r="A15" s="467">
        <v>4</v>
      </c>
      <c r="B15" s="397" t="s">
        <v>915</v>
      </c>
      <c r="C15" s="468">
        <v>2041</v>
      </c>
      <c r="D15" s="469">
        <v>102.05000000000001</v>
      </c>
      <c r="E15" s="468">
        <v>2041</v>
      </c>
      <c r="F15" s="469">
        <v>102.05000000000001</v>
      </c>
      <c r="G15" s="468">
        <v>0</v>
      </c>
      <c r="H15" s="468">
        <v>0</v>
      </c>
      <c r="I15" s="468">
        <v>0</v>
      </c>
      <c r="J15" s="468">
        <v>0</v>
      </c>
      <c r="K15" s="468">
        <v>0</v>
      </c>
    </row>
    <row r="16" spans="1:19" ht="15">
      <c r="A16" s="467">
        <v>5</v>
      </c>
      <c r="B16" s="397" t="s">
        <v>916</v>
      </c>
      <c r="C16" s="468">
        <v>2146</v>
      </c>
      <c r="D16" s="469">
        <v>107.30000000000001</v>
      </c>
      <c r="E16" s="468">
        <v>2146</v>
      </c>
      <c r="F16" s="469">
        <v>107.30000000000001</v>
      </c>
      <c r="G16" s="468">
        <v>0</v>
      </c>
      <c r="H16" s="468">
        <v>0</v>
      </c>
      <c r="I16" s="468">
        <v>0</v>
      </c>
      <c r="J16" s="468">
        <v>0</v>
      </c>
      <c r="K16" s="468">
        <v>0</v>
      </c>
    </row>
    <row r="17" spans="1:16" ht="15">
      <c r="A17" s="467">
        <v>6</v>
      </c>
      <c r="B17" s="397" t="s">
        <v>917</v>
      </c>
      <c r="C17" s="468">
        <v>2109</v>
      </c>
      <c r="D17" s="469">
        <v>105.45</v>
      </c>
      <c r="E17" s="468">
        <v>2109</v>
      </c>
      <c r="F17" s="469">
        <v>105.45</v>
      </c>
      <c r="G17" s="468">
        <v>0</v>
      </c>
      <c r="H17" s="468">
        <v>0</v>
      </c>
      <c r="I17" s="468">
        <v>0</v>
      </c>
      <c r="J17" s="468">
        <v>0</v>
      </c>
      <c r="K17" s="468">
        <v>0</v>
      </c>
    </row>
    <row r="18" spans="1:16" ht="15">
      <c r="A18" s="467">
        <v>7</v>
      </c>
      <c r="B18" s="397" t="s">
        <v>918</v>
      </c>
      <c r="C18" s="468">
        <v>1381</v>
      </c>
      <c r="D18" s="469">
        <v>69.05</v>
      </c>
      <c r="E18" s="468">
        <v>1381</v>
      </c>
      <c r="F18" s="469">
        <v>69.05</v>
      </c>
      <c r="G18" s="468">
        <v>0</v>
      </c>
      <c r="H18" s="468">
        <v>0</v>
      </c>
      <c r="I18" s="468">
        <v>0</v>
      </c>
      <c r="J18" s="468">
        <v>0</v>
      </c>
      <c r="K18" s="468">
        <v>0</v>
      </c>
    </row>
    <row r="19" spans="1:16" ht="15">
      <c r="A19" s="467">
        <v>8</v>
      </c>
      <c r="B19" s="397" t="s">
        <v>919</v>
      </c>
      <c r="C19" s="468">
        <v>3567</v>
      </c>
      <c r="D19" s="469">
        <v>178.35000000000002</v>
      </c>
      <c r="E19" s="468">
        <v>3567</v>
      </c>
      <c r="F19" s="469">
        <v>178.35000000000002</v>
      </c>
      <c r="G19" s="468">
        <v>0</v>
      </c>
      <c r="H19" s="468">
        <v>0</v>
      </c>
      <c r="I19" s="468">
        <v>0</v>
      </c>
      <c r="J19" s="468">
        <v>0</v>
      </c>
      <c r="K19" s="468">
        <v>0</v>
      </c>
    </row>
    <row r="20" spans="1:16" ht="15">
      <c r="A20" s="467">
        <v>9</v>
      </c>
      <c r="B20" s="397" t="s">
        <v>920</v>
      </c>
      <c r="C20" s="468">
        <v>1449</v>
      </c>
      <c r="D20" s="469">
        <v>72.45</v>
      </c>
      <c r="E20" s="468">
        <v>1449</v>
      </c>
      <c r="F20" s="469">
        <v>72.45</v>
      </c>
      <c r="G20" s="468">
        <v>0</v>
      </c>
      <c r="H20" s="468">
        <v>0</v>
      </c>
      <c r="I20" s="468">
        <v>0</v>
      </c>
      <c r="J20" s="468">
        <v>0</v>
      </c>
      <c r="K20" s="468">
        <v>0</v>
      </c>
    </row>
    <row r="21" spans="1:16" ht="15">
      <c r="A21" s="467">
        <v>10</v>
      </c>
      <c r="B21" s="397" t="s">
        <v>921</v>
      </c>
      <c r="C21" s="468">
        <v>1943</v>
      </c>
      <c r="D21" s="469">
        <v>97.15</v>
      </c>
      <c r="E21" s="468">
        <v>1943</v>
      </c>
      <c r="F21" s="469">
        <v>97.15</v>
      </c>
      <c r="G21" s="468">
        <v>0</v>
      </c>
      <c r="H21" s="468">
        <v>0</v>
      </c>
      <c r="I21" s="468">
        <v>0</v>
      </c>
      <c r="J21" s="468">
        <v>0</v>
      </c>
      <c r="K21" s="468">
        <v>0</v>
      </c>
    </row>
    <row r="22" spans="1:16" ht="15">
      <c r="A22" s="467">
        <v>11</v>
      </c>
      <c r="B22" s="397" t="s">
        <v>922</v>
      </c>
      <c r="C22" s="468">
        <v>1540</v>
      </c>
      <c r="D22" s="469">
        <v>77</v>
      </c>
      <c r="E22" s="468">
        <v>1540</v>
      </c>
      <c r="F22" s="469">
        <v>77</v>
      </c>
      <c r="G22" s="468">
        <v>0</v>
      </c>
      <c r="H22" s="468">
        <v>0</v>
      </c>
      <c r="I22" s="468">
        <v>0</v>
      </c>
      <c r="J22" s="468">
        <v>0</v>
      </c>
      <c r="K22" s="468">
        <v>0</v>
      </c>
    </row>
    <row r="23" spans="1:16" ht="15">
      <c r="A23" s="467">
        <v>12</v>
      </c>
      <c r="B23" s="397" t="s">
        <v>923</v>
      </c>
      <c r="C23" s="468">
        <v>2360</v>
      </c>
      <c r="D23" s="469">
        <v>118</v>
      </c>
      <c r="E23" s="468">
        <v>2360</v>
      </c>
      <c r="F23" s="469">
        <v>118</v>
      </c>
      <c r="G23" s="468">
        <v>0</v>
      </c>
      <c r="H23" s="468">
        <v>0</v>
      </c>
      <c r="I23" s="468">
        <v>0</v>
      </c>
      <c r="J23" s="468">
        <v>0</v>
      </c>
      <c r="K23" s="468">
        <v>0</v>
      </c>
    </row>
    <row r="24" spans="1:16" ht="15">
      <c r="A24" s="467">
        <v>13</v>
      </c>
      <c r="B24" s="397" t="s">
        <v>924</v>
      </c>
      <c r="C24" s="468">
        <v>2159</v>
      </c>
      <c r="D24" s="469">
        <v>107.95</v>
      </c>
      <c r="E24" s="468">
        <v>2159</v>
      </c>
      <c r="F24" s="469">
        <v>107.95</v>
      </c>
      <c r="G24" s="468">
        <v>0</v>
      </c>
      <c r="H24" s="468">
        <v>0</v>
      </c>
      <c r="I24" s="468">
        <v>0</v>
      </c>
      <c r="J24" s="468">
        <v>0</v>
      </c>
      <c r="K24" s="468">
        <v>0</v>
      </c>
    </row>
    <row r="25" spans="1:16" ht="15">
      <c r="A25" s="467">
        <v>14</v>
      </c>
      <c r="B25" s="397" t="s">
        <v>925</v>
      </c>
      <c r="C25" s="468">
        <v>1159</v>
      </c>
      <c r="D25" s="469">
        <v>57.95</v>
      </c>
      <c r="E25" s="468">
        <v>1159</v>
      </c>
      <c r="F25" s="469">
        <v>57.95</v>
      </c>
      <c r="G25" s="468">
        <v>0</v>
      </c>
      <c r="H25" s="468">
        <v>0</v>
      </c>
      <c r="I25" s="468">
        <v>0</v>
      </c>
      <c r="J25" s="468">
        <v>0</v>
      </c>
      <c r="K25" s="468">
        <v>0</v>
      </c>
    </row>
    <row r="26" spans="1:16" s="12" customFormat="1" ht="15">
      <c r="A26" s="467">
        <v>15</v>
      </c>
      <c r="B26" s="397" t="s">
        <v>926</v>
      </c>
      <c r="C26" s="468">
        <v>709</v>
      </c>
      <c r="D26" s="469">
        <v>35.450000000000003</v>
      </c>
      <c r="E26" s="468">
        <v>709</v>
      </c>
      <c r="F26" s="469">
        <v>35.450000000000003</v>
      </c>
      <c r="G26" s="468">
        <v>0</v>
      </c>
      <c r="H26" s="468">
        <v>0</v>
      </c>
      <c r="I26" s="468">
        <v>0</v>
      </c>
      <c r="J26" s="468">
        <v>0</v>
      </c>
      <c r="K26" s="468">
        <v>0</v>
      </c>
    </row>
    <row r="27" spans="1:16" s="12" customFormat="1" ht="15">
      <c r="A27" s="467">
        <v>16</v>
      </c>
      <c r="B27" s="397" t="s">
        <v>927</v>
      </c>
      <c r="C27" s="468">
        <v>3203</v>
      </c>
      <c r="D27" s="469">
        <v>160.15</v>
      </c>
      <c r="E27" s="468">
        <v>3203</v>
      </c>
      <c r="F27" s="469">
        <v>160.15</v>
      </c>
      <c r="G27" s="468">
        <v>0</v>
      </c>
      <c r="H27" s="468">
        <v>0</v>
      </c>
      <c r="I27" s="468">
        <v>0</v>
      </c>
      <c r="J27" s="468">
        <v>0</v>
      </c>
      <c r="K27" s="468">
        <v>0</v>
      </c>
    </row>
    <row r="28" spans="1:16" s="12" customFormat="1" ht="15">
      <c r="A28" s="467">
        <v>17</v>
      </c>
      <c r="B28" s="397" t="s">
        <v>928</v>
      </c>
      <c r="C28" s="468">
        <v>1661</v>
      </c>
      <c r="D28" s="469">
        <v>83.050000000000011</v>
      </c>
      <c r="E28" s="468">
        <v>1661</v>
      </c>
      <c r="F28" s="469">
        <v>83.050000000000011</v>
      </c>
      <c r="G28" s="468">
        <v>0</v>
      </c>
      <c r="H28" s="468">
        <v>0</v>
      </c>
      <c r="I28" s="468">
        <v>0</v>
      </c>
      <c r="J28" s="468">
        <v>0</v>
      </c>
      <c r="K28" s="468">
        <v>0</v>
      </c>
    </row>
    <row r="29" spans="1:16" s="12" customFormat="1" ht="15">
      <c r="A29" s="470">
        <v>18</v>
      </c>
      <c r="B29" s="398" t="s">
        <v>929</v>
      </c>
      <c r="C29" s="468">
        <v>1874</v>
      </c>
      <c r="D29" s="469">
        <v>93.7</v>
      </c>
      <c r="E29" s="468">
        <v>1874</v>
      </c>
      <c r="F29" s="469">
        <v>93.7</v>
      </c>
      <c r="G29" s="468">
        <v>0</v>
      </c>
      <c r="H29" s="468">
        <v>0</v>
      </c>
      <c r="I29" s="468">
        <v>0</v>
      </c>
      <c r="J29" s="468">
        <v>0</v>
      </c>
      <c r="K29" s="468">
        <v>0</v>
      </c>
    </row>
    <row r="30" spans="1:16" s="12" customFormat="1" ht="15">
      <c r="A30" s="467">
        <v>19</v>
      </c>
      <c r="B30" s="397" t="s">
        <v>930</v>
      </c>
      <c r="C30" s="468">
        <v>1248</v>
      </c>
      <c r="D30" s="469">
        <v>62.400000000000006</v>
      </c>
      <c r="E30" s="468">
        <v>1248</v>
      </c>
      <c r="F30" s="469">
        <v>62.400000000000006</v>
      </c>
      <c r="G30" s="468">
        <v>0</v>
      </c>
      <c r="H30" s="468">
        <v>0</v>
      </c>
      <c r="I30" s="468">
        <v>0</v>
      </c>
      <c r="J30" s="468">
        <v>0</v>
      </c>
      <c r="K30" s="468">
        <v>0</v>
      </c>
    </row>
    <row r="31" spans="1:16" ht="15.75" customHeight="1">
      <c r="A31" s="470">
        <v>20</v>
      </c>
      <c r="B31" s="398" t="s">
        <v>931</v>
      </c>
      <c r="C31" s="468">
        <v>1094</v>
      </c>
      <c r="D31" s="469">
        <v>54.7</v>
      </c>
      <c r="E31" s="468">
        <v>1094</v>
      </c>
      <c r="F31" s="469">
        <v>54.7</v>
      </c>
      <c r="G31" s="468">
        <v>0</v>
      </c>
      <c r="H31" s="468">
        <v>0</v>
      </c>
      <c r="I31" s="468">
        <v>0</v>
      </c>
      <c r="J31" s="468">
        <v>0</v>
      </c>
      <c r="K31" s="468">
        <v>0</v>
      </c>
    </row>
    <row r="32" spans="1:16" s="15" customFormat="1" ht="13.9" customHeight="1">
      <c r="A32" s="467">
        <v>21</v>
      </c>
      <c r="B32" s="397" t="s">
        <v>932</v>
      </c>
      <c r="C32" s="468">
        <v>1212</v>
      </c>
      <c r="D32" s="469">
        <v>60.6</v>
      </c>
      <c r="E32" s="468">
        <v>1212</v>
      </c>
      <c r="F32" s="469">
        <v>60.6</v>
      </c>
      <c r="G32" s="468">
        <v>0</v>
      </c>
      <c r="H32" s="468">
        <v>0</v>
      </c>
      <c r="I32" s="468">
        <v>0</v>
      </c>
      <c r="J32" s="468">
        <v>0</v>
      </c>
      <c r="K32" s="468">
        <v>0</v>
      </c>
      <c r="L32" s="82"/>
      <c r="M32" s="82"/>
      <c r="N32" s="82"/>
      <c r="O32" s="82"/>
      <c r="P32" s="82"/>
    </row>
    <row r="33" spans="1:16" s="15" customFormat="1" ht="13.15" customHeight="1">
      <c r="A33" s="467">
        <v>22</v>
      </c>
      <c r="B33" s="397" t="s">
        <v>933</v>
      </c>
      <c r="C33" s="468">
        <v>1525</v>
      </c>
      <c r="D33" s="469">
        <v>76.25</v>
      </c>
      <c r="E33" s="468">
        <v>1525</v>
      </c>
      <c r="F33" s="469">
        <v>76.25</v>
      </c>
      <c r="G33" s="468">
        <v>0</v>
      </c>
      <c r="H33" s="468">
        <v>0</v>
      </c>
      <c r="I33" s="468">
        <v>0</v>
      </c>
      <c r="J33" s="468">
        <v>0</v>
      </c>
      <c r="K33" s="468">
        <v>0</v>
      </c>
      <c r="L33" s="82"/>
      <c r="M33" s="82"/>
      <c r="N33" s="82"/>
      <c r="O33" s="82"/>
      <c r="P33" s="82"/>
    </row>
    <row r="34" spans="1:16" s="15" customFormat="1" ht="13.15" customHeight="1">
      <c r="A34" s="467">
        <v>23</v>
      </c>
      <c r="B34" s="397" t="s">
        <v>934</v>
      </c>
      <c r="C34" s="468">
        <v>1764</v>
      </c>
      <c r="D34" s="469">
        <v>88.2</v>
      </c>
      <c r="E34" s="468">
        <v>1764</v>
      </c>
      <c r="F34" s="469">
        <v>88.2</v>
      </c>
      <c r="G34" s="468">
        <v>0</v>
      </c>
      <c r="H34" s="468">
        <v>0</v>
      </c>
      <c r="I34" s="468">
        <v>0</v>
      </c>
      <c r="J34" s="468">
        <v>0</v>
      </c>
      <c r="K34" s="468">
        <v>0</v>
      </c>
      <c r="L34" s="82"/>
      <c r="M34" s="82"/>
      <c r="N34" s="82"/>
      <c r="O34" s="82"/>
      <c r="P34" s="82"/>
    </row>
    <row r="35" spans="1:16" s="15" customFormat="1" ht="15">
      <c r="A35" s="467">
        <v>24</v>
      </c>
      <c r="B35" s="397" t="s">
        <v>935</v>
      </c>
      <c r="C35" s="468">
        <v>1160</v>
      </c>
      <c r="D35" s="469">
        <v>58</v>
      </c>
      <c r="E35" s="468">
        <v>1160</v>
      </c>
      <c r="F35" s="469">
        <v>58</v>
      </c>
      <c r="G35" s="468">
        <v>0</v>
      </c>
      <c r="H35" s="468">
        <v>0</v>
      </c>
      <c r="I35" s="468">
        <v>0</v>
      </c>
      <c r="J35" s="468">
        <v>0</v>
      </c>
      <c r="K35" s="468">
        <v>0</v>
      </c>
    </row>
    <row r="36" spans="1:16" s="15" customFormat="1" ht="15">
      <c r="A36" s="467">
        <v>25</v>
      </c>
      <c r="B36" s="397" t="s">
        <v>936</v>
      </c>
      <c r="C36" s="468">
        <v>1632</v>
      </c>
      <c r="D36" s="469">
        <v>81.599999999999994</v>
      </c>
      <c r="E36" s="468">
        <v>1632</v>
      </c>
      <c r="F36" s="469">
        <v>81.599999999999994</v>
      </c>
      <c r="G36" s="468">
        <v>0</v>
      </c>
      <c r="H36" s="468">
        <v>0</v>
      </c>
      <c r="I36" s="468">
        <v>0</v>
      </c>
      <c r="J36" s="468">
        <v>0</v>
      </c>
      <c r="K36" s="468">
        <v>0</v>
      </c>
    </row>
    <row r="37" spans="1:16" ht="17.25" customHeight="1">
      <c r="A37" s="467">
        <v>26</v>
      </c>
      <c r="B37" s="397" t="s">
        <v>937</v>
      </c>
      <c r="C37" s="468">
        <v>2314</v>
      </c>
      <c r="D37" s="469">
        <v>115.7</v>
      </c>
      <c r="E37" s="468">
        <v>2314</v>
      </c>
      <c r="F37" s="469">
        <v>115.7</v>
      </c>
      <c r="G37" s="468">
        <v>0</v>
      </c>
      <c r="H37" s="468">
        <v>0</v>
      </c>
      <c r="I37" s="468">
        <v>0</v>
      </c>
      <c r="J37" s="468">
        <v>0</v>
      </c>
      <c r="K37" s="468">
        <v>0</v>
      </c>
    </row>
    <row r="38" spans="1:16" ht="15">
      <c r="A38" s="467">
        <v>27</v>
      </c>
      <c r="B38" s="397" t="s">
        <v>938</v>
      </c>
      <c r="C38" s="468">
        <v>2006</v>
      </c>
      <c r="D38" s="469">
        <v>100.30000000000001</v>
      </c>
      <c r="E38" s="468">
        <v>2006</v>
      </c>
      <c r="F38" s="469">
        <v>100.30000000000001</v>
      </c>
      <c r="G38" s="468">
        <v>0</v>
      </c>
      <c r="H38" s="468">
        <v>0</v>
      </c>
      <c r="I38" s="468">
        <v>0</v>
      </c>
      <c r="J38" s="468">
        <v>0</v>
      </c>
      <c r="K38" s="468">
        <v>0</v>
      </c>
    </row>
    <row r="39" spans="1:16" ht="15">
      <c r="A39" s="467">
        <v>28</v>
      </c>
      <c r="B39" s="397" t="s">
        <v>939</v>
      </c>
      <c r="C39" s="468">
        <v>2511</v>
      </c>
      <c r="D39" s="469">
        <v>125.55000000000001</v>
      </c>
      <c r="E39" s="468">
        <v>2511</v>
      </c>
      <c r="F39" s="469">
        <v>125.55000000000001</v>
      </c>
      <c r="G39" s="468">
        <v>0</v>
      </c>
      <c r="H39" s="468">
        <v>0</v>
      </c>
      <c r="I39" s="468">
        <v>0</v>
      </c>
      <c r="J39" s="468">
        <v>0</v>
      </c>
      <c r="K39" s="468">
        <v>0</v>
      </c>
    </row>
    <row r="40" spans="1:16" ht="15">
      <c r="A40" s="467">
        <v>29</v>
      </c>
      <c r="B40" s="397" t="s">
        <v>940</v>
      </c>
      <c r="C40" s="468">
        <v>2115</v>
      </c>
      <c r="D40" s="469">
        <v>105.75</v>
      </c>
      <c r="E40" s="468">
        <v>2115</v>
      </c>
      <c r="F40" s="469">
        <v>105.75</v>
      </c>
      <c r="G40" s="468">
        <v>0</v>
      </c>
      <c r="H40" s="468">
        <v>0</v>
      </c>
      <c r="I40" s="468">
        <v>0</v>
      </c>
      <c r="J40" s="468">
        <v>0</v>
      </c>
      <c r="K40" s="468">
        <v>0</v>
      </c>
    </row>
    <row r="41" spans="1:16" ht="15">
      <c r="A41" s="467">
        <v>30</v>
      </c>
      <c r="B41" s="397" t="s">
        <v>941</v>
      </c>
      <c r="C41" s="468">
        <v>2241</v>
      </c>
      <c r="D41" s="469">
        <v>112.05000000000001</v>
      </c>
      <c r="E41" s="468">
        <v>2241</v>
      </c>
      <c r="F41" s="469">
        <v>112.05000000000001</v>
      </c>
      <c r="G41" s="468">
        <v>0</v>
      </c>
      <c r="H41" s="468">
        <v>0</v>
      </c>
      <c r="I41" s="468">
        <v>0</v>
      </c>
      <c r="J41" s="468">
        <v>0</v>
      </c>
      <c r="K41" s="468">
        <v>0</v>
      </c>
    </row>
    <row r="42" spans="1:16" ht="15">
      <c r="A42" s="467">
        <v>31</v>
      </c>
      <c r="B42" s="397" t="s">
        <v>942</v>
      </c>
      <c r="C42" s="468">
        <v>3248</v>
      </c>
      <c r="D42" s="469">
        <v>162.4</v>
      </c>
      <c r="E42" s="468">
        <v>3248</v>
      </c>
      <c r="F42" s="469">
        <v>162.4</v>
      </c>
      <c r="G42" s="468">
        <v>0</v>
      </c>
      <c r="H42" s="468">
        <v>0</v>
      </c>
      <c r="I42" s="468">
        <v>0</v>
      </c>
      <c r="J42" s="468">
        <v>0</v>
      </c>
      <c r="K42" s="468">
        <v>0</v>
      </c>
    </row>
    <row r="43" spans="1:16" ht="15">
      <c r="A43" s="467">
        <v>32</v>
      </c>
      <c r="B43" s="397" t="s">
        <v>943</v>
      </c>
      <c r="C43" s="468">
        <v>1513</v>
      </c>
      <c r="D43" s="469">
        <v>75.650000000000006</v>
      </c>
      <c r="E43" s="468">
        <v>1513</v>
      </c>
      <c r="F43" s="469">
        <v>75.650000000000006</v>
      </c>
      <c r="G43" s="468">
        <v>0</v>
      </c>
      <c r="H43" s="468">
        <v>0</v>
      </c>
      <c r="I43" s="468">
        <v>0</v>
      </c>
      <c r="J43" s="468">
        <v>0</v>
      </c>
      <c r="K43" s="468">
        <v>0</v>
      </c>
    </row>
    <row r="44" spans="1:16" ht="15">
      <c r="A44" s="467">
        <v>33</v>
      </c>
      <c r="B44" s="397" t="s">
        <v>944</v>
      </c>
      <c r="C44" s="468">
        <v>1937</v>
      </c>
      <c r="D44" s="469">
        <v>96.850000000000009</v>
      </c>
      <c r="E44" s="468">
        <v>1937</v>
      </c>
      <c r="F44" s="469">
        <v>96.850000000000009</v>
      </c>
      <c r="G44" s="468">
        <v>0</v>
      </c>
      <c r="H44" s="468">
        <v>0</v>
      </c>
      <c r="I44" s="468">
        <v>0</v>
      </c>
      <c r="J44" s="468">
        <v>0</v>
      </c>
      <c r="K44" s="468">
        <v>0</v>
      </c>
    </row>
    <row r="45" spans="1:16" ht="15">
      <c r="A45" s="467">
        <v>34</v>
      </c>
      <c r="B45" s="397" t="s">
        <v>945</v>
      </c>
      <c r="C45" s="468">
        <v>1070</v>
      </c>
      <c r="D45" s="469">
        <v>53.5</v>
      </c>
      <c r="E45" s="468">
        <v>1070</v>
      </c>
      <c r="F45" s="469">
        <v>53.5</v>
      </c>
      <c r="G45" s="468">
        <v>0</v>
      </c>
      <c r="H45" s="468">
        <v>0</v>
      </c>
      <c r="I45" s="468">
        <v>0</v>
      </c>
      <c r="J45" s="468">
        <v>0</v>
      </c>
      <c r="K45" s="468">
        <v>0</v>
      </c>
    </row>
    <row r="46" spans="1:16">
      <c r="A46" s="456" t="s">
        <v>17</v>
      </c>
      <c r="B46" s="9"/>
      <c r="C46" s="471">
        <v>62058</v>
      </c>
      <c r="D46" s="472">
        <v>3102.9000000000005</v>
      </c>
      <c r="E46" s="471">
        <v>62058</v>
      </c>
      <c r="F46" s="472">
        <v>3102.9000000000005</v>
      </c>
      <c r="G46" s="471">
        <v>0</v>
      </c>
      <c r="H46" s="471">
        <v>0</v>
      </c>
      <c r="I46" s="471">
        <v>0</v>
      </c>
      <c r="J46" s="471">
        <v>0</v>
      </c>
      <c r="K46" s="471">
        <v>0</v>
      </c>
    </row>
    <row r="48" spans="1:16">
      <c r="A48" s="10" t="s">
        <v>41</v>
      </c>
      <c r="B48" s="12"/>
      <c r="C48" s="12"/>
      <c r="D48" s="12"/>
      <c r="E48" s="12"/>
      <c r="F48" s="12"/>
      <c r="G48" s="12"/>
      <c r="H48" s="12"/>
      <c r="I48" s="12"/>
      <c r="J48" s="12"/>
      <c r="K48" s="12"/>
    </row>
    <row r="49" spans="1:11">
      <c r="A49" s="10"/>
      <c r="B49" s="12"/>
      <c r="C49" s="12"/>
      <c r="D49" s="12"/>
      <c r="E49" s="12"/>
      <c r="F49" s="12"/>
      <c r="G49" s="12"/>
      <c r="H49" s="12"/>
      <c r="I49" s="12"/>
      <c r="J49" s="12"/>
      <c r="K49" s="12"/>
    </row>
    <row r="50" spans="1:11">
      <c r="A50" s="10"/>
      <c r="B50" s="12"/>
      <c r="C50" s="12"/>
      <c r="D50" s="12"/>
      <c r="E50" s="12"/>
      <c r="F50" s="12"/>
      <c r="G50" s="12"/>
      <c r="H50" s="12"/>
      <c r="I50" s="12"/>
      <c r="J50" s="12"/>
      <c r="K50" s="12"/>
    </row>
    <row r="51" spans="1:11">
      <c r="A51" s="10"/>
      <c r="B51" s="12"/>
      <c r="C51" s="12"/>
      <c r="D51" s="12"/>
      <c r="E51" s="12"/>
      <c r="F51" s="12"/>
      <c r="G51" s="12"/>
      <c r="H51" s="12"/>
      <c r="I51" s="12"/>
      <c r="J51" s="12"/>
      <c r="K51" s="12"/>
    </row>
    <row r="52" spans="1:11" ht="15.75">
      <c r="C52" s="1018"/>
      <c r="D52" s="1018"/>
      <c r="E52" s="1018"/>
      <c r="F52" s="1018"/>
    </row>
    <row r="53" spans="1:11">
      <c r="A53" s="803" t="s">
        <v>906</v>
      </c>
      <c r="B53" s="803"/>
      <c r="C53" s="803"/>
      <c r="D53" s="367"/>
      <c r="E53" s="367"/>
      <c r="F53" s="367"/>
      <c r="G53" s="367"/>
      <c r="H53" s="804" t="s">
        <v>12</v>
      </c>
      <c r="I53" s="804"/>
      <c r="J53" s="804"/>
      <c r="K53" s="367"/>
    </row>
    <row r="54" spans="1:11">
      <c r="A54" s="804" t="s">
        <v>907</v>
      </c>
      <c r="B54" s="804"/>
      <c r="C54" s="804"/>
      <c r="D54" s="367"/>
      <c r="E54" s="367"/>
      <c r="F54" s="367"/>
      <c r="G54" s="367"/>
      <c r="H54" s="804" t="s">
        <v>13</v>
      </c>
      <c r="I54" s="804"/>
      <c r="J54" s="804"/>
      <c r="K54" s="367"/>
    </row>
    <row r="55" spans="1:11">
      <c r="A55" s="804" t="s">
        <v>908</v>
      </c>
      <c r="B55" s="804"/>
      <c r="C55" s="804"/>
      <c r="D55" s="367"/>
      <c r="E55" s="367"/>
      <c r="F55" s="367"/>
      <c r="G55" s="367"/>
      <c r="H55" s="804" t="s">
        <v>18</v>
      </c>
      <c r="I55" s="804"/>
      <c r="J55" s="804"/>
      <c r="K55" s="367"/>
    </row>
    <row r="56" spans="1:11">
      <c r="A56" s="14" t="s">
        <v>21</v>
      </c>
      <c r="B56" s="14"/>
      <c r="C56" s="14"/>
      <c r="D56" s="14"/>
      <c r="E56" s="14"/>
      <c r="F56" s="14"/>
      <c r="G56" s="458"/>
      <c r="H56" s="803" t="s">
        <v>22</v>
      </c>
      <c r="I56" s="803"/>
      <c r="J56" s="458"/>
      <c r="K56" s="458"/>
    </row>
    <row r="57" spans="1:11">
      <c r="A57" s="14"/>
      <c r="B57" s="458"/>
      <c r="C57" s="458"/>
      <c r="D57" s="458"/>
      <c r="E57" s="458"/>
      <c r="F57" s="458"/>
      <c r="G57" s="458"/>
      <c r="H57" s="458"/>
      <c r="I57" s="458"/>
      <c r="J57" s="458"/>
      <c r="K57" s="458"/>
    </row>
  </sheetData>
  <mergeCells count="23">
    <mergeCell ref="A55:C55"/>
    <mergeCell ref="H55:J55"/>
    <mergeCell ref="H56:I56"/>
    <mergeCell ref="C52:F52"/>
    <mergeCell ref="A53:C53"/>
    <mergeCell ref="H53:J53"/>
    <mergeCell ref="A54:C54"/>
    <mergeCell ref="H54:J54"/>
    <mergeCell ref="J1:K1"/>
    <mergeCell ref="I9:J9"/>
    <mergeCell ref="D1:E1"/>
    <mergeCell ref="A2:J2"/>
    <mergeCell ref="A3:J3"/>
    <mergeCell ref="C9:D9"/>
    <mergeCell ref="A5:L5"/>
    <mergeCell ref="K9:K10"/>
    <mergeCell ref="A7:B7"/>
    <mergeCell ref="I7:K7"/>
    <mergeCell ref="C8:J8"/>
    <mergeCell ref="A9:A10"/>
    <mergeCell ref="B9:B10"/>
    <mergeCell ref="E9:F9"/>
    <mergeCell ref="G9:H9"/>
  </mergeCells>
  <phoneticPr fontId="0" type="noConversion"/>
  <printOptions horizontalCentered="1"/>
  <pageMargins left="0.70866141732283472" right="0.70866141732283472" top="0.23622047244094491" bottom="0" header="0.31496062992125984" footer="0.31496062992125984"/>
  <pageSetup paperSize="9" scale="69" orientation="landscape" r:id="rId1"/>
</worksheet>
</file>

<file path=xl/worksheets/sheet39.xml><?xml version="1.0" encoding="utf-8"?>
<worksheet xmlns="http://schemas.openxmlformats.org/spreadsheetml/2006/main" xmlns:r="http://schemas.openxmlformats.org/officeDocument/2006/relationships">
  <sheetPr codeName="Sheet39">
    <pageSetUpPr fitToPage="1"/>
  </sheetPr>
  <dimension ref="A1:S57"/>
  <sheetViews>
    <sheetView view="pageBreakPreview" topLeftCell="A22" zoomScale="90" zoomScaleSheetLayoutView="90" workbookViewId="0">
      <selection activeCell="C45" sqref="C45:G45"/>
    </sheetView>
  </sheetViews>
  <sheetFormatPr defaultRowHeight="12.75"/>
  <cols>
    <col min="1" max="1" width="7.7109375" customWidth="1"/>
    <col min="2" max="2" width="20.42578125"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c r="D1" s="803"/>
      <c r="E1" s="803"/>
      <c r="H1" s="40"/>
      <c r="J1" s="919" t="s">
        <v>478</v>
      </c>
      <c r="K1" s="919"/>
    </row>
    <row r="2" spans="1:19" ht="15">
      <c r="A2" s="920" t="s">
        <v>0</v>
      </c>
      <c r="B2" s="920"/>
      <c r="C2" s="920"/>
      <c r="D2" s="920"/>
      <c r="E2" s="920"/>
      <c r="F2" s="920"/>
      <c r="G2" s="920"/>
      <c r="H2" s="920"/>
      <c r="I2" s="920"/>
      <c r="J2" s="920"/>
    </row>
    <row r="3" spans="1:19" ht="18">
      <c r="A3" s="931" t="s">
        <v>745</v>
      </c>
      <c r="B3" s="931"/>
      <c r="C3" s="931"/>
      <c r="D3" s="931"/>
      <c r="E3" s="931"/>
      <c r="F3" s="931"/>
      <c r="G3" s="931"/>
      <c r="H3" s="931"/>
      <c r="I3" s="931"/>
      <c r="J3" s="931"/>
    </row>
    <row r="4" spans="1:19" ht="10.5" customHeight="1"/>
    <row r="5" spans="1:19" s="15" customFormat="1" ht="15.75" customHeight="1">
      <c r="A5" s="1019" t="s">
        <v>488</v>
      </c>
      <c r="B5" s="1019"/>
      <c r="C5" s="1019"/>
      <c r="D5" s="1019"/>
      <c r="E5" s="1019"/>
      <c r="F5" s="1019"/>
      <c r="G5" s="1019"/>
      <c r="H5" s="1019"/>
      <c r="I5" s="1019"/>
      <c r="J5" s="1019"/>
      <c r="K5" s="1019"/>
      <c r="L5" s="1019"/>
    </row>
    <row r="6" spans="1:19" s="15" customFormat="1" ht="15.75" customHeight="1">
      <c r="A6" s="43"/>
      <c r="B6" s="43"/>
      <c r="C6" s="43"/>
      <c r="D6" s="43"/>
      <c r="E6" s="43"/>
      <c r="F6" s="43"/>
      <c r="G6" s="43"/>
      <c r="H6" s="43"/>
      <c r="I6" s="43"/>
      <c r="J6" s="43"/>
    </row>
    <row r="7" spans="1:19" s="15" customFormat="1">
      <c r="A7" s="850" t="s">
        <v>162</v>
      </c>
      <c r="B7" s="850"/>
      <c r="I7" s="966" t="s">
        <v>833</v>
      </c>
      <c r="J7" s="966"/>
      <c r="K7" s="966"/>
    </row>
    <row r="8" spans="1:19" s="13" customFormat="1" ht="15.75" hidden="1">
      <c r="C8" s="920" t="s">
        <v>14</v>
      </c>
      <c r="D8" s="920"/>
      <c r="E8" s="920"/>
      <c r="F8" s="920"/>
      <c r="G8" s="920"/>
      <c r="H8" s="920"/>
      <c r="I8" s="920"/>
      <c r="J8" s="920"/>
    </row>
    <row r="9" spans="1:19" ht="31.5" customHeight="1">
      <c r="A9" s="917" t="s">
        <v>24</v>
      </c>
      <c r="B9" s="917" t="s">
        <v>37</v>
      </c>
      <c r="C9" s="821" t="s">
        <v>983</v>
      </c>
      <c r="D9" s="823"/>
      <c r="E9" s="821" t="s">
        <v>477</v>
      </c>
      <c r="F9" s="823"/>
      <c r="G9" s="821" t="s">
        <v>39</v>
      </c>
      <c r="H9" s="823"/>
      <c r="I9" s="834" t="s">
        <v>107</v>
      </c>
      <c r="J9" s="834"/>
      <c r="K9" s="917" t="s">
        <v>515</v>
      </c>
      <c r="R9" s="9"/>
      <c r="S9" s="12"/>
    </row>
    <row r="10" spans="1:19" s="14" customFormat="1" ht="46.5" customHeight="1">
      <c r="A10" s="918"/>
      <c r="B10" s="918"/>
      <c r="C10" s="457" t="s">
        <v>40</v>
      </c>
      <c r="D10" s="457" t="s">
        <v>106</v>
      </c>
      <c r="E10" s="457" t="s">
        <v>40</v>
      </c>
      <c r="F10" s="457" t="s">
        <v>106</v>
      </c>
      <c r="G10" s="457" t="s">
        <v>40</v>
      </c>
      <c r="H10" s="457" t="s">
        <v>106</v>
      </c>
      <c r="I10" s="457" t="s">
        <v>136</v>
      </c>
      <c r="J10" s="457" t="s">
        <v>137</v>
      </c>
      <c r="K10" s="918"/>
    </row>
    <row r="11" spans="1:19">
      <c r="A11" s="281">
        <v>1</v>
      </c>
      <c r="B11" s="281">
        <v>2</v>
      </c>
      <c r="C11" s="281">
        <v>3</v>
      </c>
      <c r="D11" s="281">
        <v>4</v>
      </c>
      <c r="E11" s="281">
        <v>5</v>
      </c>
      <c r="F11" s="281">
        <v>6</v>
      </c>
      <c r="G11" s="281">
        <v>7</v>
      </c>
      <c r="H11" s="281">
        <v>8</v>
      </c>
      <c r="I11" s="281">
        <v>9</v>
      </c>
      <c r="J11" s="281">
        <v>10</v>
      </c>
      <c r="K11" s="281">
        <v>11</v>
      </c>
    </row>
    <row r="12" spans="1:19" ht="15">
      <c r="A12" s="467">
        <v>1</v>
      </c>
      <c r="B12" s="397" t="s">
        <v>912</v>
      </c>
      <c r="C12" s="473">
        <v>97</v>
      </c>
      <c r="D12" s="476">
        <v>4.8500000000000005</v>
      </c>
      <c r="E12" s="473">
        <v>97</v>
      </c>
      <c r="F12" s="476">
        <v>4.8500000000000005</v>
      </c>
      <c r="G12" s="473">
        <v>0</v>
      </c>
      <c r="H12" s="473">
        <v>0</v>
      </c>
      <c r="I12" s="473">
        <v>0</v>
      </c>
      <c r="J12" s="473">
        <v>0</v>
      </c>
      <c r="K12" s="473"/>
    </row>
    <row r="13" spans="1:19" ht="15">
      <c r="A13" s="467">
        <v>2</v>
      </c>
      <c r="B13" s="397" t="s">
        <v>913</v>
      </c>
      <c r="C13" s="473">
        <v>135</v>
      </c>
      <c r="D13" s="476">
        <v>6.75</v>
      </c>
      <c r="E13" s="473">
        <v>135</v>
      </c>
      <c r="F13" s="476">
        <v>6.75</v>
      </c>
      <c r="G13" s="473">
        <v>0</v>
      </c>
      <c r="H13" s="473">
        <v>0</v>
      </c>
      <c r="I13" s="473">
        <v>0</v>
      </c>
      <c r="J13" s="473">
        <v>0</v>
      </c>
      <c r="K13" s="473"/>
    </row>
    <row r="14" spans="1:19" ht="15">
      <c r="A14" s="467">
        <v>3</v>
      </c>
      <c r="B14" s="397" t="s">
        <v>914</v>
      </c>
      <c r="C14" s="473">
        <v>1500</v>
      </c>
      <c r="D14" s="476">
        <v>75</v>
      </c>
      <c r="E14" s="473">
        <v>1500</v>
      </c>
      <c r="F14" s="476">
        <v>75</v>
      </c>
      <c r="G14" s="473">
        <v>0</v>
      </c>
      <c r="H14" s="473">
        <v>0</v>
      </c>
      <c r="I14" s="473">
        <v>0</v>
      </c>
      <c r="J14" s="473">
        <v>0</v>
      </c>
      <c r="K14" s="473"/>
    </row>
    <row r="15" spans="1:19" ht="15">
      <c r="A15" s="467">
        <v>4</v>
      </c>
      <c r="B15" s="397" t="s">
        <v>915</v>
      </c>
      <c r="C15" s="473">
        <v>1339</v>
      </c>
      <c r="D15" s="476">
        <v>66.95</v>
      </c>
      <c r="E15" s="473">
        <v>1339</v>
      </c>
      <c r="F15" s="476">
        <v>66.95</v>
      </c>
      <c r="G15" s="473">
        <v>0</v>
      </c>
      <c r="H15" s="473">
        <v>0</v>
      </c>
      <c r="I15" s="473">
        <v>0</v>
      </c>
      <c r="J15" s="473">
        <v>0</v>
      </c>
      <c r="K15" s="473"/>
    </row>
    <row r="16" spans="1:19" ht="15">
      <c r="A16" s="467">
        <v>5</v>
      </c>
      <c r="B16" s="397" t="s">
        <v>916</v>
      </c>
      <c r="C16" s="473">
        <v>1353</v>
      </c>
      <c r="D16" s="476">
        <v>67.650000000000006</v>
      </c>
      <c r="E16" s="473">
        <v>1353</v>
      </c>
      <c r="F16" s="476">
        <v>67.650000000000006</v>
      </c>
      <c r="G16" s="473">
        <v>0</v>
      </c>
      <c r="H16" s="473">
        <v>0</v>
      </c>
      <c r="I16" s="473">
        <v>0</v>
      </c>
      <c r="J16" s="473">
        <v>0</v>
      </c>
      <c r="K16" s="473"/>
    </row>
    <row r="17" spans="1:16" ht="15">
      <c r="A17" s="467">
        <v>6</v>
      </c>
      <c r="B17" s="397" t="s">
        <v>917</v>
      </c>
      <c r="C17" s="473">
        <v>1041</v>
      </c>
      <c r="D17" s="476">
        <v>52.050000000000004</v>
      </c>
      <c r="E17" s="473">
        <v>1041</v>
      </c>
      <c r="F17" s="476">
        <v>52.050000000000004</v>
      </c>
      <c r="G17" s="473">
        <v>0</v>
      </c>
      <c r="H17" s="473">
        <v>0</v>
      </c>
      <c r="I17" s="473">
        <v>0</v>
      </c>
      <c r="J17" s="473">
        <v>0</v>
      </c>
      <c r="K17" s="473"/>
    </row>
    <row r="18" spans="1:16" ht="15">
      <c r="A18" s="467">
        <v>7</v>
      </c>
      <c r="B18" s="397" t="s">
        <v>918</v>
      </c>
      <c r="C18" s="473">
        <v>1183</v>
      </c>
      <c r="D18" s="476">
        <v>59.150000000000006</v>
      </c>
      <c r="E18" s="473">
        <v>1183</v>
      </c>
      <c r="F18" s="476">
        <v>59.150000000000006</v>
      </c>
      <c r="G18" s="473">
        <v>0</v>
      </c>
      <c r="H18" s="473">
        <v>0</v>
      </c>
      <c r="I18" s="473">
        <v>0</v>
      </c>
      <c r="J18" s="473">
        <v>0</v>
      </c>
      <c r="K18" s="473"/>
    </row>
    <row r="19" spans="1:16" ht="15">
      <c r="A19" s="467">
        <v>8</v>
      </c>
      <c r="B19" s="397" t="s">
        <v>919</v>
      </c>
      <c r="C19" s="473">
        <v>1640</v>
      </c>
      <c r="D19" s="476">
        <v>82</v>
      </c>
      <c r="E19" s="473">
        <v>1640</v>
      </c>
      <c r="F19" s="476">
        <v>82</v>
      </c>
      <c r="G19" s="473">
        <v>0</v>
      </c>
      <c r="H19" s="473">
        <v>0</v>
      </c>
      <c r="I19" s="473">
        <v>0</v>
      </c>
      <c r="J19" s="473">
        <v>0</v>
      </c>
      <c r="K19" s="473"/>
    </row>
    <row r="20" spans="1:16" ht="15">
      <c r="A20" s="467">
        <v>9</v>
      </c>
      <c r="B20" s="397" t="s">
        <v>920</v>
      </c>
      <c r="C20" s="473">
        <v>1634</v>
      </c>
      <c r="D20" s="476">
        <v>81.7</v>
      </c>
      <c r="E20" s="473">
        <v>1634</v>
      </c>
      <c r="F20" s="476">
        <v>81.7</v>
      </c>
      <c r="G20" s="473">
        <v>0</v>
      </c>
      <c r="H20" s="473">
        <v>0</v>
      </c>
      <c r="I20" s="473">
        <v>0</v>
      </c>
      <c r="J20" s="473">
        <v>0</v>
      </c>
      <c r="K20" s="473"/>
    </row>
    <row r="21" spans="1:16" ht="15">
      <c r="A21" s="467">
        <v>10</v>
      </c>
      <c r="B21" s="397" t="s">
        <v>921</v>
      </c>
      <c r="C21" s="473">
        <v>1388</v>
      </c>
      <c r="D21" s="476">
        <v>69.400000000000006</v>
      </c>
      <c r="E21" s="473">
        <v>1388</v>
      </c>
      <c r="F21" s="476">
        <v>69.400000000000006</v>
      </c>
      <c r="G21" s="473">
        <v>0</v>
      </c>
      <c r="H21" s="473">
        <v>0</v>
      </c>
      <c r="I21" s="473">
        <v>0</v>
      </c>
      <c r="J21" s="473">
        <v>0</v>
      </c>
      <c r="K21" s="473"/>
    </row>
    <row r="22" spans="1:16" ht="15">
      <c r="A22" s="467">
        <v>11</v>
      </c>
      <c r="B22" s="397" t="s">
        <v>922</v>
      </c>
      <c r="C22" s="473">
        <v>1099</v>
      </c>
      <c r="D22" s="476">
        <v>54.95</v>
      </c>
      <c r="E22" s="473">
        <v>1099</v>
      </c>
      <c r="F22" s="476">
        <v>54.95</v>
      </c>
      <c r="G22" s="473">
        <v>0</v>
      </c>
      <c r="H22" s="473">
        <v>0</v>
      </c>
      <c r="I22" s="473">
        <v>0</v>
      </c>
      <c r="J22" s="473">
        <v>0</v>
      </c>
      <c r="K22" s="473"/>
    </row>
    <row r="23" spans="1:16" ht="15">
      <c r="A23" s="467">
        <v>12</v>
      </c>
      <c r="B23" s="397" t="s">
        <v>923</v>
      </c>
      <c r="C23" s="473">
        <v>1729</v>
      </c>
      <c r="D23" s="476">
        <v>86.45</v>
      </c>
      <c r="E23" s="473">
        <v>1729</v>
      </c>
      <c r="F23" s="476">
        <v>86.450000000000017</v>
      </c>
      <c r="G23" s="473">
        <v>0</v>
      </c>
      <c r="H23" s="473">
        <v>0</v>
      </c>
      <c r="I23" s="473">
        <v>0</v>
      </c>
      <c r="J23" s="473">
        <v>0</v>
      </c>
      <c r="K23" s="473"/>
    </row>
    <row r="24" spans="1:16" ht="15">
      <c r="A24" s="467">
        <v>13</v>
      </c>
      <c r="B24" s="397" t="s">
        <v>924</v>
      </c>
      <c r="C24" s="473">
        <v>1984</v>
      </c>
      <c r="D24" s="476">
        <v>99.2</v>
      </c>
      <c r="E24" s="473">
        <v>1984</v>
      </c>
      <c r="F24" s="476">
        <v>99.200000000000017</v>
      </c>
      <c r="G24" s="473">
        <v>0</v>
      </c>
      <c r="H24" s="473">
        <v>0</v>
      </c>
      <c r="I24" s="473">
        <v>0</v>
      </c>
      <c r="J24" s="473">
        <v>0</v>
      </c>
      <c r="K24" s="473"/>
    </row>
    <row r="25" spans="1:16" ht="15">
      <c r="A25" s="467">
        <v>14</v>
      </c>
      <c r="B25" s="397" t="s">
        <v>925</v>
      </c>
      <c r="C25" s="473">
        <v>1067</v>
      </c>
      <c r="D25" s="476">
        <v>53.35</v>
      </c>
      <c r="E25" s="473">
        <v>1067</v>
      </c>
      <c r="F25" s="476">
        <v>53.35</v>
      </c>
      <c r="G25" s="473">
        <v>0</v>
      </c>
      <c r="H25" s="473">
        <v>0</v>
      </c>
      <c r="I25" s="473">
        <v>0</v>
      </c>
      <c r="J25" s="473">
        <v>0</v>
      </c>
      <c r="K25" s="473"/>
    </row>
    <row r="26" spans="1:16" s="12" customFormat="1" ht="15">
      <c r="A26" s="467">
        <v>15</v>
      </c>
      <c r="B26" s="397" t="s">
        <v>926</v>
      </c>
      <c r="C26" s="473">
        <v>603</v>
      </c>
      <c r="D26" s="476">
        <v>30.150000000000002</v>
      </c>
      <c r="E26" s="473">
        <v>603</v>
      </c>
      <c r="F26" s="476">
        <v>30.150000000000002</v>
      </c>
      <c r="G26" s="473">
        <v>0</v>
      </c>
      <c r="H26" s="473">
        <v>0</v>
      </c>
      <c r="I26" s="473">
        <v>0</v>
      </c>
      <c r="J26" s="473">
        <v>0</v>
      </c>
      <c r="K26" s="473"/>
    </row>
    <row r="27" spans="1:16" s="12" customFormat="1" ht="15">
      <c r="A27" s="467">
        <v>16</v>
      </c>
      <c r="B27" s="397" t="s">
        <v>927</v>
      </c>
      <c r="C27" s="473">
        <v>2134</v>
      </c>
      <c r="D27" s="476">
        <v>106.7</v>
      </c>
      <c r="E27" s="473">
        <v>2134</v>
      </c>
      <c r="F27" s="476">
        <v>106.70000000000002</v>
      </c>
      <c r="G27" s="473">
        <v>0</v>
      </c>
      <c r="H27" s="473">
        <v>0</v>
      </c>
      <c r="I27" s="473">
        <v>0</v>
      </c>
      <c r="J27" s="473">
        <v>0</v>
      </c>
      <c r="K27" s="473"/>
    </row>
    <row r="28" spans="1:16" s="12" customFormat="1" ht="15">
      <c r="A28" s="467">
        <v>17</v>
      </c>
      <c r="B28" s="397" t="s">
        <v>928</v>
      </c>
      <c r="C28" s="473">
        <v>1620</v>
      </c>
      <c r="D28" s="476">
        <v>81</v>
      </c>
      <c r="E28" s="473">
        <v>1620</v>
      </c>
      <c r="F28" s="476">
        <v>81</v>
      </c>
      <c r="G28" s="473">
        <v>0</v>
      </c>
      <c r="H28" s="473">
        <v>0</v>
      </c>
      <c r="I28" s="473">
        <v>0</v>
      </c>
      <c r="J28" s="473">
        <v>0</v>
      </c>
      <c r="K28" s="473"/>
    </row>
    <row r="29" spans="1:16" s="12" customFormat="1" ht="15">
      <c r="A29" s="470">
        <v>18</v>
      </c>
      <c r="B29" s="398" t="s">
        <v>929</v>
      </c>
      <c r="C29" s="473">
        <v>1145</v>
      </c>
      <c r="D29" s="476">
        <v>57.25</v>
      </c>
      <c r="E29" s="473">
        <v>1145</v>
      </c>
      <c r="F29" s="476">
        <v>57.25</v>
      </c>
      <c r="G29" s="473">
        <v>0</v>
      </c>
      <c r="H29" s="473">
        <v>0</v>
      </c>
      <c r="I29" s="473">
        <v>0</v>
      </c>
      <c r="J29" s="473">
        <v>0</v>
      </c>
      <c r="K29" s="473"/>
    </row>
    <row r="30" spans="1:16" s="12" customFormat="1" ht="15">
      <c r="A30" s="467">
        <v>19</v>
      </c>
      <c r="B30" s="397" t="s">
        <v>930</v>
      </c>
      <c r="C30" s="473">
        <v>867</v>
      </c>
      <c r="D30" s="476">
        <v>43.35</v>
      </c>
      <c r="E30" s="473">
        <v>867</v>
      </c>
      <c r="F30" s="476">
        <v>43.35</v>
      </c>
      <c r="G30" s="473">
        <v>0</v>
      </c>
      <c r="H30" s="473">
        <v>0</v>
      </c>
      <c r="I30" s="473">
        <v>0</v>
      </c>
      <c r="J30" s="473">
        <v>0</v>
      </c>
      <c r="K30" s="473"/>
    </row>
    <row r="31" spans="1:16" ht="15.75" customHeight="1">
      <c r="A31" s="470">
        <v>20</v>
      </c>
      <c r="B31" s="398" t="s">
        <v>931</v>
      </c>
      <c r="C31" s="473">
        <v>0</v>
      </c>
      <c r="D31" s="476">
        <v>0</v>
      </c>
      <c r="E31" s="473">
        <v>0</v>
      </c>
      <c r="F31" s="476">
        <v>0</v>
      </c>
      <c r="G31" s="473">
        <v>0</v>
      </c>
      <c r="H31" s="473">
        <v>0</v>
      </c>
      <c r="I31" s="473">
        <v>0</v>
      </c>
      <c r="J31" s="473">
        <v>0</v>
      </c>
      <c r="K31" s="473"/>
    </row>
    <row r="32" spans="1:16" s="15" customFormat="1" ht="13.9" customHeight="1">
      <c r="A32" s="467">
        <v>21</v>
      </c>
      <c r="B32" s="397" t="s">
        <v>932</v>
      </c>
      <c r="C32" s="473">
        <v>612</v>
      </c>
      <c r="D32" s="476">
        <v>30.6</v>
      </c>
      <c r="E32" s="473">
        <v>612</v>
      </c>
      <c r="F32" s="476">
        <v>30.6</v>
      </c>
      <c r="G32" s="473">
        <v>0</v>
      </c>
      <c r="H32" s="473">
        <v>0</v>
      </c>
      <c r="I32" s="473">
        <v>0</v>
      </c>
      <c r="J32" s="473">
        <v>0</v>
      </c>
      <c r="K32" s="473"/>
      <c r="L32" s="82"/>
      <c r="M32" s="82"/>
      <c r="N32" s="82"/>
      <c r="O32" s="82"/>
      <c r="P32" s="82"/>
    </row>
    <row r="33" spans="1:16" s="15" customFormat="1" ht="13.15" customHeight="1">
      <c r="A33" s="467">
        <v>22</v>
      </c>
      <c r="B33" s="397" t="s">
        <v>933</v>
      </c>
      <c r="C33" s="473">
        <v>1089</v>
      </c>
      <c r="D33" s="476">
        <v>54.45</v>
      </c>
      <c r="E33" s="473">
        <v>1089</v>
      </c>
      <c r="F33" s="476">
        <v>54.45</v>
      </c>
      <c r="G33" s="473">
        <v>0</v>
      </c>
      <c r="H33" s="473">
        <v>0</v>
      </c>
      <c r="I33" s="473">
        <v>0</v>
      </c>
      <c r="J33" s="473">
        <v>0</v>
      </c>
      <c r="K33" s="473"/>
      <c r="L33" s="82"/>
      <c r="M33" s="82"/>
      <c r="N33" s="82"/>
      <c r="O33" s="82"/>
      <c r="P33" s="82"/>
    </row>
    <row r="34" spans="1:16" s="15" customFormat="1" ht="13.15" customHeight="1">
      <c r="A34" s="467">
        <v>23</v>
      </c>
      <c r="B34" s="397" t="s">
        <v>934</v>
      </c>
      <c r="C34" s="473">
        <v>1659</v>
      </c>
      <c r="D34" s="476">
        <v>82.95</v>
      </c>
      <c r="E34" s="473">
        <v>1659</v>
      </c>
      <c r="F34" s="476">
        <v>82.95</v>
      </c>
      <c r="G34" s="473">
        <v>0</v>
      </c>
      <c r="H34" s="473">
        <v>0</v>
      </c>
      <c r="I34" s="473">
        <v>0</v>
      </c>
      <c r="J34" s="473">
        <v>0</v>
      </c>
      <c r="K34" s="473"/>
      <c r="L34" s="82"/>
      <c r="M34" s="82"/>
      <c r="N34" s="82"/>
      <c r="O34" s="82"/>
      <c r="P34" s="82"/>
    </row>
    <row r="35" spans="1:16" s="15" customFormat="1" ht="15">
      <c r="A35" s="467">
        <v>24</v>
      </c>
      <c r="B35" s="397" t="s">
        <v>935</v>
      </c>
      <c r="C35" s="473">
        <v>998</v>
      </c>
      <c r="D35" s="476">
        <v>49.900000000000006</v>
      </c>
      <c r="E35" s="473">
        <v>998</v>
      </c>
      <c r="F35" s="476">
        <v>49.900000000000006</v>
      </c>
      <c r="G35" s="473">
        <v>0</v>
      </c>
      <c r="H35" s="473">
        <v>0</v>
      </c>
      <c r="I35" s="473">
        <v>0</v>
      </c>
      <c r="J35" s="473">
        <v>0</v>
      </c>
      <c r="K35" s="473"/>
    </row>
    <row r="36" spans="1:16" s="15" customFormat="1" ht="15">
      <c r="A36" s="467">
        <v>25</v>
      </c>
      <c r="B36" s="397" t="s">
        <v>936</v>
      </c>
      <c r="C36" s="473">
        <v>1176</v>
      </c>
      <c r="D36" s="476">
        <v>58.800000000000004</v>
      </c>
      <c r="E36" s="473">
        <v>1176</v>
      </c>
      <c r="F36" s="476">
        <v>58.8</v>
      </c>
      <c r="G36" s="473">
        <v>0</v>
      </c>
      <c r="H36" s="473">
        <v>0</v>
      </c>
      <c r="I36" s="473">
        <v>0</v>
      </c>
      <c r="J36" s="473">
        <v>0</v>
      </c>
      <c r="K36" s="473"/>
    </row>
    <row r="37" spans="1:16" ht="15">
      <c r="A37" s="467">
        <v>26</v>
      </c>
      <c r="B37" s="397" t="s">
        <v>937</v>
      </c>
      <c r="C37" s="473">
        <v>1457</v>
      </c>
      <c r="D37" s="476">
        <v>72.850000000000009</v>
      </c>
      <c r="E37" s="473">
        <v>1457</v>
      </c>
      <c r="F37" s="476">
        <v>72.850000000000009</v>
      </c>
      <c r="G37" s="473">
        <v>0</v>
      </c>
      <c r="H37" s="473">
        <v>0</v>
      </c>
      <c r="I37" s="473">
        <v>0</v>
      </c>
      <c r="J37" s="473">
        <v>0</v>
      </c>
      <c r="K37" s="473"/>
    </row>
    <row r="38" spans="1:16" ht="15">
      <c r="A38" s="467">
        <v>27</v>
      </c>
      <c r="B38" s="397" t="s">
        <v>938</v>
      </c>
      <c r="C38" s="473">
        <v>1903</v>
      </c>
      <c r="D38" s="476">
        <v>95.15</v>
      </c>
      <c r="E38" s="473">
        <v>1903</v>
      </c>
      <c r="F38" s="476">
        <v>95.15</v>
      </c>
      <c r="G38" s="473">
        <v>0</v>
      </c>
      <c r="H38" s="473">
        <v>0</v>
      </c>
      <c r="I38" s="473">
        <v>0</v>
      </c>
      <c r="J38" s="473">
        <v>0</v>
      </c>
      <c r="K38" s="473"/>
    </row>
    <row r="39" spans="1:16" ht="15">
      <c r="A39" s="467">
        <v>28</v>
      </c>
      <c r="B39" s="397" t="s">
        <v>939</v>
      </c>
      <c r="C39" s="473">
        <v>2109</v>
      </c>
      <c r="D39" s="476">
        <v>105.45</v>
      </c>
      <c r="E39" s="473">
        <v>2109</v>
      </c>
      <c r="F39" s="476">
        <v>105.45000000000002</v>
      </c>
      <c r="G39" s="473">
        <v>0</v>
      </c>
      <c r="H39" s="473">
        <v>0</v>
      </c>
      <c r="I39" s="473">
        <v>0</v>
      </c>
      <c r="J39" s="473">
        <v>0</v>
      </c>
      <c r="K39" s="473"/>
    </row>
    <row r="40" spans="1:16" ht="15">
      <c r="A40" s="467">
        <v>29</v>
      </c>
      <c r="B40" s="397" t="s">
        <v>940</v>
      </c>
      <c r="C40" s="473">
        <v>1508</v>
      </c>
      <c r="D40" s="476">
        <v>75.400000000000006</v>
      </c>
      <c r="E40" s="473">
        <v>1508</v>
      </c>
      <c r="F40" s="476">
        <v>75.400000000000006</v>
      </c>
      <c r="G40" s="473">
        <v>0</v>
      </c>
      <c r="H40" s="473">
        <v>0</v>
      </c>
      <c r="I40" s="473">
        <v>0</v>
      </c>
      <c r="J40" s="473">
        <v>0</v>
      </c>
      <c r="K40" s="473"/>
    </row>
    <row r="41" spans="1:16" ht="15">
      <c r="A41" s="467">
        <v>30</v>
      </c>
      <c r="B41" s="397" t="s">
        <v>941</v>
      </c>
      <c r="C41" s="473">
        <v>1272</v>
      </c>
      <c r="D41" s="476">
        <v>63.6</v>
      </c>
      <c r="E41" s="473">
        <v>1272</v>
      </c>
      <c r="F41" s="476">
        <v>63.6</v>
      </c>
      <c r="G41" s="473">
        <v>0</v>
      </c>
      <c r="H41" s="473">
        <v>0</v>
      </c>
      <c r="I41" s="473">
        <v>0</v>
      </c>
      <c r="J41" s="473">
        <v>0</v>
      </c>
      <c r="K41" s="473"/>
    </row>
    <row r="42" spans="1:16" ht="15">
      <c r="A42" s="467">
        <v>31</v>
      </c>
      <c r="B42" s="397" t="s">
        <v>942</v>
      </c>
      <c r="C42" s="473">
        <v>1548</v>
      </c>
      <c r="D42" s="476">
        <v>77.400000000000006</v>
      </c>
      <c r="E42" s="473">
        <v>1548</v>
      </c>
      <c r="F42" s="476">
        <v>77.400000000000006</v>
      </c>
      <c r="G42" s="473">
        <v>0</v>
      </c>
      <c r="H42" s="473">
        <v>0</v>
      </c>
      <c r="I42" s="473">
        <v>0</v>
      </c>
      <c r="J42" s="473">
        <v>0</v>
      </c>
      <c r="K42" s="473"/>
    </row>
    <row r="43" spans="1:16" ht="15">
      <c r="A43" s="467">
        <v>32</v>
      </c>
      <c r="B43" s="397" t="s">
        <v>943</v>
      </c>
      <c r="C43" s="473">
        <v>1104</v>
      </c>
      <c r="D43" s="476">
        <v>55.2</v>
      </c>
      <c r="E43" s="473">
        <v>1104</v>
      </c>
      <c r="F43" s="476">
        <v>55.2</v>
      </c>
      <c r="G43" s="473">
        <v>0</v>
      </c>
      <c r="H43" s="473">
        <v>0</v>
      </c>
      <c r="I43" s="473">
        <v>0</v>
      </c>
      <c r="J43" s="473">
        <v>0</v>
      </c>
      <c r="K43" s="473"/>
    </row>
    <row r="44" spans="1:16" ht="15">
      <c r="A44" s="467">
        <v>33</v>
      </c>
      <c r="B44" s="397" t="s">
        <v>944</v>
      </c>
      <c r="C44" s="473">
        <v>1638</v>
      </c>
      <c r="D44" s="476">
        <v>81.900000000000006</v>
      </c>
      <c r="E44" s="473">
        <v>1638</v>
      </c>
      <c r="F44" s="476">
        <v>81.900000000000006</v>
      </c>
      <c r="G44" s="473">
        <v>0</v>
      </c>
      <c r="H44" s="473">
        <v>0</v>
      </c>
      <c r="I44" s="473">
        <v>0</v>
      </c>
      <c r="J44" s="473">
        <v>0</v>
      </c>
      <c r="K44" s="473"/>
    </row>
    <row r="45" spans="1:16" ht="15">
      <c r="A45" s="467">
        <v>34</v>
      </c>
      <c r="B45" s="397" t="s">
        <v>945</v>
      </c>
      <c r="C45" s="473">
        <v>957</v>
      </c>
      <c r="D45" s="476">
        <v>47.85</v>
      </c>
      <c r="E45" s="473">
        <v>957</v>
      </c>
      <c r="F45" s="476">
        <v>47.85</v>
      </c>
      <c r="G45" s="473">
        <v>0</v>
      </c>
      <c r="H45" s="473">
        <v>0</v>
      </c>
      <c r="I45" s="473">
        <v>0</v>
      </c>
      <c r="J45" s="473">
        <v>0</v>
      </c>
      <c r="K45" s="473"/>
    </row>
    <row r="46" spans="1:16" ht="15">
      <c r="A46" s="456" t="s">
        <v>17</v>
      </c>
      <c r="B46" s="9"/>
      <c r="C46" s="474">
        <v>42588</v>
      </c>
      <c r="D46" s="477">
        <v>2129.4</v>
      </c>
      <c r="E46" s="474">
        <v>42588</v>
      </c>
      <c r="F46" s="477">
        <v>2129.3999999999996</v>
      </c>
      <c r="G46" s="475">
        <v>0</v>
      </c>
      <c r="H46" s="475">
        <v>0</v>
      </c>
      <c r="I46" s="475">
        <v>0</v>
      </c>
      <c r="J46" s="475">
        <v>0</v>
      </c>
      <c r="K46" s="475"/>
    </row>
    <row r="48" spans="1:16">
      <c r="A48" s="10" t="s">
        <v>41</v>
      </c>
      <c r="B48" s="12"/>
      <c r="C48" s="12"/>
      <c r="D48" s="12"/>
      <c r="E48" s="12"/>
      <c r="F48" s="12"/>
      <c r="G48" s="12"/>
      <c r="H48" s="12"/>
      <c r="I48" s="12"/>
      <c r="J48" s="12"/>
      <c r="K48" s="12"/>
    </row>
    <row r="49" spans="1:11">
      <c r="A49" s="10"/>
      <c r="B49" s="12"/>
      <c r="C49" s="12"/>
      <c r="D49" s="12"/>
      <c r="E49" s="12"/>
      <c r="F49" s="12"/>
      <c r="G49" s="12"/>
      <c r="H49" s="12"/>
      <c r="I49" s="12"/>
      <c r="J49" s="12"/>
      <c r="K49" s="12"/>
    </row>
    <row r="50" spans="1:11">
      <c r="A50" s="10"/>
      <c r="B50" s="12"/>
      <c r="C50" s="12"/>
      <c r="D50" s="12"/>
      <c r="E50" s="12"/>
      <c r="F50" s="12"/>
      <c r="G50" s="12"/>
      <c r="H50" s="12"/>
      <c r="I50" s="12"/>
      <c r="J50" s="12"/>
      <c r="K50" s="12"/>
    </row>
    <row r="51" spans="1:11">
      <c r="A51" s="10"/>
      <c r="B51" s="12"/>
      <c r="C51" s="12"/>
      <c r="D51" s="12"/>
      <c r="E51" s="12"/>
      <c r="F51" s="12"/>
      <c r="G51" s="12"/>
      <c r="H51" s="12"/>
      <c r="I51" s="12"/>
      <c r="J51" s="12"/>
      <c r="K51" s="12"/>
    </row>
    <row r="52" spans="1:11" ht="15.75">
      <c r="C52" s="1018"/>
      <c r="D52" s="1018"/>
      <c r="E52" s="1018"/>
      <c r="F52" s="1018"/>
    </row>
    <row r="53" spans="1:11">
      <c r="A53" s="803" t="s">
        <v>906</v>
      </c>
      <c r="B53" s="803"/>
      <c r="C53" s="803"/>
      <c r="D53" s="367"/>
      <c r="E53" s="367"/>
      <c r="F53" s="367"/>
      <c r="G53" s="367"/>
      <c r="H53" s="804" t="s">
        <v>12</v>
      </c>
      <c r="I53" s="804"/>
      <c r="J53" s="804"/>
      <c r="K53" s="367"/>
    </row>
    <row r="54" spans="1:11">
      <c r="A54" s="804" t="s">
        <v>907</v>
      </c>
      <c r="B54" s="804"/>
      <c r="C54" s="804"/>
      <c r="D54" s="367"/>
      <c r="E54" s="367"/>
      <c r="F54" s="367"/>
      <c r="G54" s="367"/>
      <c r="H54" s="804" t="s">
        <v>13</v>
      </c>
      <c r="I54" s="804"/>
      <c r="J54" s="804"/>
      <c r="K54" s="367"/>
    </row>
    <row r="55" spans="1:11">
      <c r="A55" s="804" t="s">
        <v>908</v>
      </c>
      <c r="B55" s="804"/>
      <c r="C55" s="804"/>
      <c r="D55" s="367"/>
      <c r="E55" s="367"/>
      <c r="F55" s="367"/>
      <c r="G55" s="367"/>
      <c r="H55" s="804" t="s">
        <v>18</v>
      </c>
      <c r="I55" s="804"/>
      <c r="J55" s="804"/>
      <c r="K55" s="367"/>
    </row>
    <row r="56" spans="1:11">
      <c r="A56" s="14" t="s">
        <v>21</v>
      </c>
      <c r="B56" s="14"/>
      <c r="C56" s="14"/>
      <c r="D56" s="14"/>
      <c r="E56" s="14"/>
      <c r="F56" s="14"/>
      <c r="G56" s="458"/>
      <c r="H56" s="803" t="s">
        <v>22</v>
      </c>
      <c r="I56" s="803"/>
      <c r="J56" s="458"/>
      <c r="K56" s="458"/>
    </row>
    <row r="57" spans="1:11">
      <c r="A57" s="14"/>
      <c r="B57" s="458"/>
      <c r="C57" s="458"/>
      <c r="D57" s="458"/>
      <c r="E57" s="458"/>
      <c r="F57" s="458"/>
      <c r="G57" s="458"/>
      <c r="H57" s="458"/>
      <c r="I57" s="458"/>
      <c r="J57" s="458"/>
      <c r="K57" s="458"/>
    </row>
  </sheetData>
  <mergeCells count="23">
    <mergeCell ref="A55:C55"/>
    <mergeCell ref="H55:J55"/>
    <mergeCell ref="H56:I56"/>
    <mergeCell ref="C52:F52"/>
    <mergeCell ref="A53:C53"/>
    <mergeCell ref="H53:J53"/>
    <mergeCell ref="A54:C54"/>
    <mergeCell ref="H54:J54"/>
    <mergeCell ref="A7:B7"/>
    <mergeCell ref="I7:K7"/>
    <mergeCell ref="D1:E1"/>
    <mergeCell ref="J1:K1"/>
    <mergeCell ref="A2:J2"/>
    <mergeCell ref="A3:J3"/>
    <mergeCell ref="A5:L5"/>
    <mergeCell ref="K9:K10"/>
    <mergeCell ref="C8:J8"/>
    <mergeCell ref="A9:A10"/>
    <mergeCell ref="B9:B10"/>
    <mergeCell ref="C9:D9"/>
    <mergeCell ref="E9:F9"/>
    <mergeCell ref="G9:H9"/>
    <mergeCell ref="I9:J9"/>
  </mergeCells>
  <printOptions horizontalCentered="1"/>
  <pageMargins left="0.70866141732283472" right="0.70866141732283472" top="0.23622047244094491" bottom="0" header="0.31496062992125984" footer="0.31496062992125984"/>
  <pageSetup paperSize="9" scale="69" orientation="landscape"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T58"/>
  <sheetViews>
    <sheetView topLeftCell="A10" zoomScaleSheetLayoutView="86" workbookViewId="0">
      <selection activeCell="A25" sqref="A25:T32"/>
    </sheetView>
  </sheetViews>
  <sheetFormatPr defaultRowHeight="12.75"/>
  <cols>
    <col min="1" max="1" width="9.28515625" style="14" customWidth="1"/>
    <col min="2" max="3" width="8.5703125" style="14" customWidth="1"/>
    <col min="4" max="4" width="12" style="14" customWidth="1"/>
    <col min="5" max="5" width="8.5703125" style="14" customWidth="1"/>
    <col min="6" max="6" width="9.5703125" style="14" customWidth="1"/>
    <col min="7" max="7" width="8.5703125" style="14" customWidth="1"/>
    <col min="8" max="8" width="11.7109375" style="14" customWidth="1"/>
    <col min="9" max="15" width="8.5703125" style="14" customWidth="1"/>
    <col min="16" max="16" width="8.42578125" style="14" customWidth="1"/>
    <col min="17" max="19" width="8.5703125" style="14" customWidth="1"/>
    <col min="20" max="16384" width="9.140625" style="14"/>
  </cols>
  <sheetData>
    <row r="1" spans="1:19">
      <c r="A1" s="14" t="s">
        <v>10</v>
      </c>
      <c r="H1" s="803"/>
      <c r="I1" s="803"/>
      <c r="R1" s="846" t="s">
        <v>56</v>
      </c>
      <c r="S1" s="846"/>
    </row>
    <row r="2" spans="1:19" s="13" customFormat="1" ht="15.75">
      <c r="A2" s="847" t="s">
        <v>0</v>
      </c>
      <c r="B2" s="847"/>
      <c r="C2" s="847"/>
      <c r="D2" s="847"/>
      <c r="E2" s="847"/>
      <c r="F2" s="847"/>
      <c r="G2" s="847"/>
      <c r="H2" s="847"/>
      <c r="I2" s="847"/>
      <c r="J2" s="847"/>
      <c r="K2" s="847"/>
      <c r="L2" s="847"/>
      <c r="M2" s="847"/>
      <c r="N2" s="847"/>
      <c r="O2" s="847"/>
      <c r="P2" s="847"/>
      <c r="Q2" s="847"/>
      <c r="R2" s="847"/>
      <c r="S2" s="847"/>
    </row>
    <row r="3" spans="1:19" s="13" customFormat="1" ht="20.25" customHeight="1">
      <c r="A3" s="848" t="s">
        <v>745</v>
      </c>
      <c r="B3" s="848"/>
      <c r="C3" s="848"/>
      <c r="D3" s="848"/>
      <c r="E3" s="848"/>
      <c r="F3" s="848"/>
      <c r="G3" s="848"/>
      <c r="H3" s="848"/>
      <c r="I3" s="848"/>
      <c r="J3" s="848"/>
      <c r="K3" s="848"/>
      <c r="L3" s="848"/>
      <c r="M3" s="848"/>
      <c r="N3" s="848"/>
      <c r="O3" s="848"/>
      <c r="P3" s="848"/>
      <c r="Q3" s="848"/>
      <c r="R3" s="848"/>
      <c r="S3" s="848"/>
    </row>
    <row r="5" spans="1:19" s="13" customFormat="1" ht="15.75">
      <c r="A5" s="849" t="s">
        <v>794</v>
      </c>
      <c r="B5" s="849"/>
      <c r="C5" s="849"/>
      <c r="D5" s="849"/>
      <c r="E5" s="849"/>
      <c r="F5" s="849"/>
      <c r="G5" s="849"/>
      <c r="H5" s="849"/>
      <c r="I5" s="849"/>
      <c r="J5" s="849"/>
      <c r="K5" s="849"/>
      <c r="L5" s="849"/>
      <c r="M5" s="849"/>
      <c r="N5" s="849"/>
      <c r="O5" s="849"/>
      <c r="P5" s="849"/>
      <c r="Q5" s="849"/>
      <c r="R5" s="849"/>
      <c r="S5" s="849"/>
    </row>
    <row r="6" spans="1:19">
      <c r="A6" s="850" t="s">
        <v>162</v>
      </c>
      <c r="B6" s="850"/>
    </row>
    <row r="7" spans="1:19">
      <c r="A7" s="850" t="s">
        <v>168</v>
      </c>
      <c r="B7" s="850"/>
      <c r="C7" s="850"/>
      <c r="D7" s="850"/>
      <c r="E7" s="850"/>
      <c r="F7" s="850"/>
      <c r="G7" s="850"/>
      <c r="H7" s="850"/>
      <c r="I7" s="850"/>
      <c r="R7" s="28"/>
      <c r="S7" s="28"/>
    </row>
    <row r="9" spans="1:19" ht="18" customHeight="1">
      <c r="A9" s="5"/>
      <c r="B9" s="834" t="s">
        <v>43</v>
      </c>
      <c r="C9" s="834"/>
      <c r="D9" s="834" t="s">
        <v>44</v>
      </c>
      <c r="E9" s="834"/>
      <c r="F9" s="834" t="s">
        <v>45</v>
      </c>
      <c r="G9" s="834"/>
      <c r="H9" s="851" t="s">
        <v>46</v>
      </c>
      <c r="I9" s="851"/>
      <c r="J9" s="834" t="s">
        <v>47</v>
      </c>
      <c r="K9" s="834"/>
      <c r="L9" s="25" t="s">
        <v>17</v>
      </c>
    </row>
    <row r="10" spans="1:19" s="68" customFormat="1" ht="13.5" customHeight="1">
      <c r="A10" s="69">
        <v>1</v>
      </c>
      <c r="B10" s="845">
        <v>2</v>
      </c>
      <c r="C10" s="845"/>
      <c r="D10" s="845">
        <v>3</v>
      </c>
      <c r="E10" s="845"/>
      <c r="F10" s="845">
        <v>4</v>
      </c>
      <c r="G10" s="845"/>
      <c r="H10" s="845">
        <v>5</v>
      </c>
      <c r="I10" s="845"/>
      <c r="J10" s="845">
        <v>6</v>
      </c>
      <c r="K10" s="845"/>
      <c r="L10" s="69">
        <v>7</v>
      </c>
    </row>
    <row r="11" spans="1:19">
      <c r="A11" s="3" t="s">
        <v>48</v>
      </c>
      <c r="B11" s="825">
        <v>0</v>
      </c>
      <c r="C11" s="825"/>
      <c r="D11" s="825">
        <v>0</v>
      </c>
      <c r="E11" s="825"/>
      <c r="F11" s="825">
        <v>0</v>
      </c>
      <c r="G11" s="825"/>
      <c r="H11" s="825">
        <v>0</v>
      </c>
      <c r="I11" s="825"/>
      <c r="J11" s="825">
        <v>0</v>
      </c>
      <c r="K11" s="825"/>
      <c r="L11" s="17">
        <f>SUM(B11:K11)</f>
        <v>0</v>
      </c>
    </row>
    <row r="12" spans="1:19">
      <c r="A12" s="3" t="s">
        <v>49</v>
      </c>
      <c r="B12" s="830">
        <v>25345</v>
      </c>
      <c r="C12" s="831"/>
      <c r="D12" s="825">
        <v>12522</v>
      </c>
      <c r="E12" s="825"/>
      <c r="F12" s="825">
        <v>56328</v>
      </c>
      <c r="G12" s="825"/>
      <c r="H12" s="825">
        <v>12537</v>
      </c>
      <c r="I12" s="825"/>
      <c r="J12" s="825">
        <v>11267</v>
      </c>
      <c r="K12" s="825"/>
      <c r="L12" s="362">
        <v>117999</v>
      </c>
    </row>
    <row r="13" spans="1:19">
      <c r="A13" s="3" t="s">
        <v>17</v>
      </c>
      <c r="B13" s="828">
        <f>SUM(B11:C12)</f>
        <v>25345</v>
      </c>
      <c r="C13" s="828"/>
      <c r="D13" s="828">
        <f>SUM(D11:E12)</f>
        <v>12522</v>
      </c>
      <c r="E13" s="828"/>
      <c r="F13" s="828">
        <f>SUM(F11:G12)</f>
        <v>56328</v>
      </c>
      <c r="G13" s="828"/>
      <c r="H13" s="828">
        <f>SUM(H11:I12)</f>
        <v>12537</v>
      </c>
      <c r="I13" s="828"/>
      <c r="J13" s="828">
        <f>SUM(J11:K12)</f>
        <v>11267</v>
      </c>
      <c r="K13" s="828"/>
      <c r="L13" s="3">
        <f>SUM(L11:L12)</f>
        <v>117999</v>
      </c>
    </row>
    <row r="14" spans="1:19">
      <c r="A14" s="11"/>
      <c r="B14" s="11"/>
      <c r="C14" s="11"/>
      <c r="D14" s="11"/>
      <c r="E14" s="11"/>
      <c r="F14" s="11"/>
      <c r="G14" s="11"/>
      <c r="H14" s="11"/>
      <c r="I14" s="11"/>
      <c r="J14" s="11"/>
      <c r="K14" s="11"/>
      <c r="L14" s="11"/>
    </row>
    <row r="15" spans="1:19">
      <c r="A15" s="856" t="s">
        <v>429</v>
      </c>
      <c r="B15" s="856"/>
      <c r="C15" s="856"/>
      <c r="D15" s="856"/>
      <c r="E15" s="856"/>
      <c r="F15" s="856"/>
      <c r="G15" s="856"/>
      <c r="H15" s="11"/>
      <c r="I15" s="11"/>
      <c r="J15" s="11"/>
      <c r="K15" s="11"/>
      <c r="L15" s="11"/>
    </row>
    <row r="16" spans="1:19" ht="12.75" customHeight="1">
      <c r="A16" s="858" t="s">
        <v>176</v>
      </c>
      <c r="B16" s="859"/>
      <c r="C16" s="857" t="s">
        <v>202</v>
      </c>
      <c r="D16" s="857"/>
      <c r="E16" s="3" t="s">
        <v>17</v>
      </c>
      <c r="I16" s="11"/>
      <c r="J16" s="11"/>
      <c r="K16" s="11"/>
      <c r="L16" s="11"/>
    </row>
    <row r="17" spans="1:20">
      <c r="A17" s="815">
        <v>600</v>
      </c>
      <c r="B17" s="816"/>
      <c r="C17" s="815" t="s">
        <v>897</v>
      </c>
      <c r="D17" s="816"/>
      <c r="E17" s="363">
        <v>2700</v>
      </c>
      <c r="I17" s="11"/>
      <c r="J17" s="11"/>
      <c r="K17" s="11"/>
      <c r="L17" s="11"/>
    </row>
    <row r="18" spans="1:20">
      <c r="A18" s="815">
        <v>600</v>
      </c>
      <c r="B18" s="816"/>
      <c r="C18" s="815" t="s">
        <v>896</v>
      </c>
      <c r="D18" s="816"/>
      <c r="E18" s="363">
        <v>2600</v>
      </c>
      <c r="I18" s="11"/>
      <c r="J18" s="11"/>
      <c r="K18" s="11"/>
      <c r="L18" s="11"/>
    </row>
    <row r="19" spans="1:20">
      <c r="A19" s="260"/>
      <c r="B19" s="260"/>
      <c r="C19" s="260"/>
      <c r="D19" s="260"/>
      <c r="E19" s="260"/>
      <c r="F19" s="260"/>
      <c r="G19" s="260"/>
      <c r="H19" s="11"/>
      <c r="I19" s="11"/>
      <c r="J19" s="11"/>
      <c r="K19" s="11"/>
      <c r="L19" s="11"/>
    </row>
    <row r="21" spans="1:20" ht="19.149999999999999" customHeight="1">
      <c r="A21" s="860" t="s">
        <v>169</v>
      </c>
      <c r="B21" s="860"/>
      <c r="C21" s="860"/>
      <c r="D21" s="860"/>
      <c r="E21" s="860"/>
      <c r="F21" s="860"/>
      <c r="G21" s="860"/>
      <c r="H21" s="860"/>
      <c r="I21" s="860"/>
      <c r="J21" s="860"/>
      <c r="K21" s="860"/>
      <c r="L21" s="860"/>
      <c r="M21" s="860"/>
      <c r="N21" s="860"/>
      <c r="O21" s="860"/>
      <c r="P21" s="860"/>
      <c r="Q21" s="860"/>
      <c r="R21" s="860"/>
      <c r="S21" s="860"/>
    </row>
    <row r="22" spans="1:20">
      <c r="A22" s="834" t="s">
        <v>24</v>
      </c>
      <c r="B22" s="834" t="s">
        <v>50</v>
      </c>
      <c r="C22" s="834"/>
      <c r="D22" s="834"/>
      <c r="E22" s="835" t="s">
        <v>25</v>
      </c>
      <c r="F22" s="835"/>
      <c r="G22" s="835"/>
      <c r="H22" s="835"/>
      <c r="I22" s="835"/>
      <c r="J22" s="835"/>
      <c r="K22" s="835"/>
      <c r="L22" s="835"/>
      <c r="M22" s="828" t="s">
        <v>26</v>
      </c>
      <c r="N22" s="828"/>
      <c r="O22" s="828"/>
      <c r="P22" s="828"/>
      <c r="Q22" s="828"/>
      <c r="R22" s="828"/>
      <c r="S22" s="828"/>
      <c r="T22" s="828"/>
    </row>
    <row r="23" spans="1:20" ht="33.75" customHeight="1">
      <c r="A23" s="834"/>
      <c r="B23" s="834"/>
      <c r="C23" s="834"/>
      <c r="D23" s="834"/>
      <c r="E23" s="821" t="s">
        <v>133</v>
      </c>
      <c r="F23" s="823"/>
      <c r="G23" s="821" t="s">
        <v>170</v>
      </c>
      <c r="H23" s="823"/>
      <c r="I23" s="834" t="s">
        <v>51</v>
      </c>
      <c r="J23" s="834"/>
      <c r="K23" s="821" t="s">
        <v>96</v>
      </c>
      <c r="L23" s="823"/>
      <c r="M23" s="821" t="s">
        <v>97</v>
      </c>
      <c r="N23" s="823"/>
      <c r="O23" s="821" t="s">
        <v>170</v>
      </c>
      <c r="P23" s="823"/>
      <c r="Q23" s="834" t="s">
        <v>51</v>
      </c>
      <c r="R23" s="834"/>
      <c r="S23" s="834" t="s">
        <v>96</v>
      </c>
      <c r="T23" s="834"/>
    </row>
    <row r="24" spans="1:20" s="68" customFormat="1" ht="15.75" customHeight="1">
      <c r="A24" s="69">
        <v>1</v>
      </c>
      <c r="B24" s="832">
        <v>2</v>
      </c>
      <c r="C24" s="855"/>
      <c r="D24" s="833"/>
      <c r="E24" s="832">
        <v>3</v>
      </c>
      <c r="F24" s="833"/>
      <c r="G24" s="832">
        <v>4</v>
      </c>
      <c r="H24" s="833"/>
      <c r="I24" s="845">
        <v>5</v>
      </c>
      <c r="J24" s="845"/>
      <c r="K24" s="845">
        <v>6</v>
      </c>
      <c r="L24" s="845"/>
      <c r="M24" s="832">
        <v>3</v>
      </c>
      <c r="N24" s="833"/>
      <c r="O24" s="832">
        <v>4</v>
      </c>
      <c r="P24" s="833"/>
      <c r="Q24" s="845">
        <v>5</v>
      </c>
      <c r="R24" s="845"/>
      <c r="S24" s="845">
        <v>6</v>
      </c>
      <c r="T24" s="845"/>
    </row>
    <row r="25" spans="1:20" ht="27.75" customHeight="1">
      <c r="A25" s="67">
        <v>1</v>
      </c>
      <c r="B25" s="852" t="s">
        <v>487</v>
      </c>
      <c r="C25" s="853"/>
      <c r="D25" s="854"/>
      <c r="E25" s="830">
        <v>100</v>
      </c>
      <c r="F25" s="831"/>
      <c r="G25" s="815" t="s">
        <v>356</v>
      </c>
      <c r="H25" s="816"/>
      <c r="I25" s="829">
        <v>345</v>
      </c>
      <c r="J25" s="829"/>
      <c r="K25" s="829">
        <v>6.8</v>
      </c>
      <c r="L25" s="829"/>
      <c r="M25" s="830">
        <v>150</v>
      </c>
      <c r="N25" s="831"/>
      <c r="O25" s="815" t="s">
        <v>356</v>
      </c>
      <c r="P25" s="816"/>
      <c r="Q25" s="829">
        <v>517.5</v>
      </c>
      <c r="R25" s="829"/>
      <c r="S25" s="829">
        <v>10</v>
      </c>
      <c r="T25" s="829"/>
    </row>
    <row r="26" spans="1:20">
      <c r="A26" s="67">
        <v>2</v>
      </c>
      <c r="B26" s="818" t="s">
        <v>52</v>
      </c>
      <c r="C26" s="819"/>
      <c r="D26" s="820"/>
      <c r="E26" s="830">
        <v>20</v>
      </c>
      <c r="F26" s="831"/>
      <c r="G26" s="843">
        <v>1.8</v>
      </c>
      <c r="H26" s="844"/>
      <c r="I26" s="829">
        <v>65</v>
      </c>
      <c r="J26" s="829"/>
      <c r="K26" s="829">
        <v>5</v>
      </c>
      <c r="L26" s="829"/>
      <c r="M26" s="830">
        <v>30</v>
      </c>
      <c r="N26" s="831"/>
      <c r="O26" s="830">
        <v>2.66</v>
      </c>
      <c r="P26" s="831"/>
      <c r="Q26" s="829">
        <v>81.25</v>
      </c>
      <c r="R26" s="829"/>
      <c r="S26" s="829">
        <v>7.5</v>
      </c>
      <c r="T26" s="829"/>
    </row>
    <row r="27" spans="1:20">
      <c r="A27" s="67">
        <v>3</v>
      </c>
      <c r="B27" s="818" t="s">
        <v>171</v>
      </c>
      <c r="C27" s="819"/>
      <c r="D27" s="820"/>
      <c r="E27" s="830">
        <v>50</v>
      </c>
      <c r="F27" s="831"/>
      <c r="G27" s="843">
        <v>1.23</v>
      </c>
      <c r="H27" s="844"/>
      <c r="I27" s="829">
        <v>54</v>
      </c>
      <c r="J27" s="829"/>
      <c r="K27" s="829">
        <v>2</v>
      </c>
      <c r="L27" s="829"/>
      <c r="M27" s="830">
        <v>75</v>
      </c>
      <c r="N27" s="831"/>
      <c r="O27" s="830">
        <v>1.84</v>
      </c>
      <c r="P27" s="831"/>
      <c r="Q27" s="829">
        <v>75.599999999999994</v>
      </c>
      <c r="R27" s="829"/>
      <c r="S27" s="829">
        <v>3</v>
      </c>
      <c r="T27" s="829"/>
    </row>
    <row r="28" spans="1:20">
      <c r="A28" s="67">
        <v>4</v>
      </c>
      <c r="B28" s="818" t="s">
        <v>53</v>
      </c>
      <c r="C28" s="819"/>
      <c r="D28" s="820"/>
      <c r="E28" s="830">
        <v>5</v>
      </c>
      <c r="F28" s="831"/>
      <c r="G28" s="843">
        <v>0.38</v>
      </c>
      <c r="H28" s="844"/>
      <c r="I28" s="829">
        <v>27</v>
      </c>
      <c r="J28" s="829"/>
      <c r="K28" s="829">
        <v>0</v>
      </c>
      <c r="L28" s="829"/>
      <c r="M28" s="830">
        <v>7.5</v>
      </c>
      <c r="N28" s="831"/>
      <c r="O28" s="830">
        <v>0.6</v>
      </c>
      <c r="P28" s="831"/>
      <c r="Q28" s="829">
        <v>54</v>
      </c>
      <c r="R28" s="829"/>
      <c r="S28" s="829">
        <v>0</v>
      </c>
      <c r="T28" s="829"/>
    </row>
    <row r="29" spans="1:20">
      <c r="A29" s="67">
        <v>5</v>
      </c>
      <c r="B29" s="818" t="s">
        <v>54</v>
      </c>
      <c r="C29" s="819"/>
      <c r="D29" s="820"/>
      <c r="E29" s="830">
        <v>2</v>
      </c>
      <c r="F29" s="831"/>
      <c r="G29" s="843">
        <v>0.03</v>
      </c>
      <c r="H29" s="844"/>
      <c r="I29" s="829">
        <v>0</v>
      </c>
      <c r="J29" s="829"/>
      <c r="K29" s="829">
        <v>0</v>
      </c>
      <c r="L29" s="829"/>
      <c r="M29" s="830">
        <v>4</v>
      </c>
      <c r="N29" s="831"/>
      <c r="O29" s="830">
        <v>0.05</v>
      </c>
      <c r="P29" s="831"/>
      <c r="Q29" s="829">
        <v>0</v>
      </c>
      <c r="R29" s="829"/>
      <c r="S29" s="829">
        <v>0</v>
      </c>
      <c r="T29" s="829"/>
    </row>
    <row r="30" spans="1:20">
      <c r="A30" s="67">
        <v>6</v>
      </c>
      <c r="B30" s="818" t="s">
        <v>55</v>
      </c>
      <c r="C30" s="819"/>
      <c r="D30" s="820"/>
      <c r="E30" s="830">
        <v>0</v>
      </c>
      <c r="F30" s="831"/>
      <c r="G30" s="843">
        <v>0.71</v>
      </c>
      <c r="H30" s="844"/>
      <c r="I30" s="829">
        <v>0</v>
      </c>
      <c r="J30" s="829"/>
      <c r="K30" s="829">
        <v>0</v>
      </c>
      <c r="L30" s="829"/>
      <c r="M30" s="830">
        <v>0</v>
      </c>
      <c r="N30" s="831"/>
      <c r="O30" s="830">
        <v>1.07</v>
      </c>
      <c r="P30" s="831"/>
      <c r="Q30" s="829">
        <v>0</v>
      </c>
      <c r="R30" s="829"/>
      <c r="S30" s="829">
        <v>0</v>
      </c>
      <c r="T30" s="829"/>
    </row>
    <row r="31" spans="1:20">
      <c r="A31" s="67">
        <v>7</v>
      </c>
      <c r="B31" s="842" t="s">
        <v>172</v>
      </c>
      <c r="C31" s="842"/>
      <c r="D31" s="842"/>
      <c r="E31" s="825">
        <v>0</v>
      </c>
      <c r="F31" s="825"/>
      <c r="G31" s="829">
        <v>0.33</v>
      </c>
      <c r="H31" s="829"/>
      <c r="I31" s="829">
        <v>0</v>
      </c>
      <c r="J31" s="829"/>
      <c r="K31" s="829">
        <v>0</v>
      </c>
      <c r="L31" s="829"/>
      <c r="M31" s="825">
        <v>0</v>
      </c>
      <c r="N31" s="825"/>
      <c r="O31" s="825">
        <v>0.49</v>
      </c>
      <c r="P31" s="825"/>
      <c r="Q31" s="829">
        <v>0</v>
      </c>
      <c r="R31" s="829"/>
      <c r="S31" s="829">
        <v>0</v>
      </c>
      <c r="T31" s="829"/>
    </row>
    <row r="32" spans="1:20">
      <c r="A32" s="67"/>
      <c r="B32" s="834" t="s">
        <v>17</v>
      </c>
      <c r="C32" s="834"/>
      <c r="D32" s="834"/>
      <c r="E32" s="828">
        <f>SUM(E25:F31)</f>
        <v>177</v>
      </c>
      <c r="F32" s="828"/>
      <c r="G32" s="827">
        <f>SUM(G26:G31)</f>
        <v>4.4800000000000004</v>
      </c>
      <c r="H32" s="828"/>
      <c r="I32" s="827">
        <f>SUM(I25:I31)</f>
        <v>491</v>
      </c>
      <c r="J32" s="828"/>
      <c r="K32" s="827">
        <f>SUM(K25:K31)</f>
        <v>13.8</v>
      </c>
      <c r="L32" s="828"/>
      <c r="M32" s="828">
        <f>SUM(M25:M31)</f>
        <v>266.5</v>
      </c>
      <c r="N32" s="828"/>
      <c r="O32" s="828">
        <f>SUM(O26:P31)</f>
        <v>6.71</v>
      </c>
      <c r="P32" s="828"/>
      <c r="Q32" s="827">
        <f>SUM(Q25:Q31)</f>
        <v>728.35</v>
      </c>
      <c r="R32" s="828"/>
      <c r="S32" s="827">
        <f>SUM(S25:S31)</f>
        <v>20.5</v>
      </c>
      <c r="T32" s="828"/>
    </row>
    <row r="33" spans="1:20">
      <c r="A33" s="118"/>
      <c r="B33" s="119"/>
      <c r="C33" s="119"/>
      <c r="D33" s="119"/>
      <c r="E33" s="11"/>
      <c r="F33" s="11"/>
      <c r="G33" s="714"/>
      <c r="H33" s="713"/>
      <c r="I33" s="11"/>
      <c r="J33" s="11"/>
      <c r="K33" s="11"/>
      <c r="L33" s="11"/>
      <c r="M33" s="11"/>
      <c r="N33" s="11"/>
      <c r="O33" s="11"/>
      <c r="P33" s="11"/>
      <c r="Q33" s="11"/>
      <c r="R33" s="11"/>
      <c r="S33" s="11"/>
      <c r="T33" s="11"/>
    </row>
    <row r="34" spans="1:20" ht="12.75" customHeight="1">
      <c r="A34" s="263" t="s">
        <v>409</v>
      </c>
      <c r="B34" s="826" t="s">
        <v>463</v>
      </c>
      <c r="C34" s="826"/>
      <c r="D34" s="826"/>
      <c r="E34" s="826"/>
      <c r="F34" s="826"/>
      <c r="G34" s="826"/>
      <c r="H34" s="826"/>
      <c r="I34" s="11"/>
      <c r="J34" s="11"/>
      <c r="K34" s="11"/>
      <c r="L34" s="11"/>
      <c r="M34" s="11"/>
      <c r="N34" s="11"/>
      <c r="O34" s="11"/>
      <c r="P34" s="11"/>
      <c r="Q34" s="11"/>
      <c r="R34" s="11"/>
      <c r="S34" s="11"/>
      <c r="T34" s="11"/>
    </row>
    <row r="35" spans="1:20">
      <c r="A35" s="263"/>
      <c r="B35" s="119"/>
      <c r="C35" s="119"/>
      <c r="D35" s="119"/>
      <c r="E35" s="11"/>
      <c r="F35" s="11"/>
      <c r="G35" s="11"/>
      <c r="H35" s="11"/>
      <c r="I35" s="11"/>
      <c r="J35" s="11"/>
      <c r="K35" s="11"/>
      <c r="L35" s="11"/>
      <c r="M35" s="11"/>
      <c r="N35" s="11"/>
      <c r="O35" s="11"/>
      <c r="P35" s="11"/>
      <c r="Q35" s="11"/>
      <c r="R35" s="11"/>
      <c r="S35" s="11"/>
      <c r="T35" s="11"/>
    </row>
    <row r="36" spans="1:20" s="28" customFormat="1" ht="17.25" customHeight="1">
      <c r="A36" s="2" t="s">
        <v>24</v>
      </c>
      <c r="B36" s="836" t="s">
        <v>410</v>
      </c>
      <c r="C36" s="837"/>
      <c r="D36" s="838"/>
      <c r="E36" s="821" t="s">
        <v>25</v>
      </c>
      <c r="F36" s="822"/>
      <c r="G36" s="822"/>
      <c r="H36" s="822"/>
      <c r="I36" s="822"/>
      <c r="J36" s="823"/>
      <c r="K36" s="828" t="s">
        <v>26</v>
      </c>
      <c r="L36" s="828"/>
      <c r="M36" s="828"/>
      <c r="N36" s="828"/>
      <c r="O36" s="828"/>
      <c r="P36" s="828"/>
      <c r="Q36" s="861"/>
      <c r="R36" s="861"/>
      <c r="S36" s="861"/>
      <c r="T36" s="861"/>
    </row>
    <row r="37" spans="1:20">
      <c r="A37" s="4"/>
      <c r="B37" s="839"/>
      <c r="C37" s="840"/>
      <c r="D37" s="841"/>
      <c r="E37" s="815" t="s">
        <v>426</v>
      </c>
      <c r="F37" s="816"/>
      <c r="G37" s="815" t="s">
        <v>427</v>
      </c>
      <c r="H37" s="816"/>
      <c r="I37" s="815" t="s">
        <v>428</v>
      </c>
      <c r="J37" s="816"/>
      <c r="K37" s="828" t="s">
        <v>426</v>
      </c>
      <c r="L37" s="828"/>
      <c r="M37" s="828" t="s">
        <v>427</v>
      </c>
      <c r="N37" s="828"/>
      <c r="O37" s="828" t="s">
        <v>428</v>
      </c>
      <c r="P37" s="828"/>
      <c r="Q37" s="11"/>
      <c r="R37" s="11"/>
      <c r="S37" s="11"/>
      <c r="T37" s="11"/>
    </row>
    <row r="38" spans="1:20" ht="15.75">
      <c r="A38" s="67">
        <v>1</v>
      </c>
      <c r="B38" s="812" t="s">
        <v>898</v>
      </c>
      <c r="C38" s="813"/>
      <c r="D38" s="814"/>
      <c r="E38" s="805" t="s">
        <v>899</v>
      </c>
      <c r="F38" s="806"/>
      <c r="G38" s="805">
        <v>5.79</v>
      </c>
      <c r="H38" s="806"/>
      <c r="I38" s="805" t="s">
        <v>900</v>
      </c>
      <c r="J38" s="806"/>
      <c r="K38" s="805" t="s">
        <v>899</v>
      </c>
      <c r="L38" s="806"/>
      <c r="M38" s="805">
        <v>5.79</v>
      </c>
      <c r="N38" s="806"/>
      <c r="O38" s="805" t="s">
        <v>900</v>
      </c>
      <c r="P38" s="806"/>
      <c r="Q38" s="11"/>
      <c r="R38" s="11"/>
      <c r="S38" s="11"/>
      <c r="T38" s="11"/>
    </row>
    <row r="39" spans="1:20" ht="15.75">
      <c r="A39" s="67">
        <v>2</v>
      </c>
      <c r="B39" s="812" t="s">
        <v>901</v>
      </c>
      <c r="C39" s="813"/>
      <c r="D39" s="814"/>
      <c r="E39" s="805" t="s">
        <v>899</v>
      </c>
      <c r="F39" s="806"/>
      <c r="G39" s="805">
        <v>5.74</v>
      </c>
      <c r="H39" s="806"/>
      <c r="I39" s="805" t="s">
        <v>902</v>
      </c>
      <c r="J39" s="806"/>
      <c r="K39" s="805" t="s">
        <v>899</v>
      </c>
      <c r="L39" s="806"/>
      <c r="M39" s="805">
        <v>5.74</v>
      </c>
      <c r="N39" s="806"/>
      <c r="O39" s="805" t="s">
        <v>902</v>
      </c>
      <c r="P39" s="806"/>
      <c r="Q39" s="11"/>
      <c r="R39" s="11"/>
      <c r="S39" s="11"/>
      <c r="T39" s="11"/>
    </row>
    <row r="40" spans="1:20" ht="15.75">
      <c r="A40" s="67">
        <v>3</v>
      </c>
      <c r="B40" s="812" t="s">
        <v>903</v>
      </c>
      <c r="C40" s="813"/>
      <c r="D40" s="814"/>
      <c r="E40" s="805" t="s">
        <v>899</v>
      </c>
      <c r="F40" s="806"/>
      <c r="G40" s="805">
        <v>5.74</v>
      </c>
      <c r="H40" s="806"/>
      <c r="I40" s="805" t="s">
        <v>904</v>
      </c>
      <c r="J40" s="806"/>
      <c r="K40" s="805" t="s">
        <v>899</v>
      </c>
      <c r="L40" s="806"/>
      <c r="M40" s="805">
        <v>5.74</v>
      </c>
      <c r="N40" s="806"/>
      <c r="O40" s="805" t="s">
        <v>904</v>
      </c>
      <c r="P40" s="806"/>
      <c r="Q40" s="11"/>
      <c r="R40" s="11"/>
      <c r="S40" s="11"/>
      <c r="T40" s="11"/>
    </row>
    <row r="41" spans="1:20" ht="29.25" customHeight="1">
      <c r="A41" s="824" t="s">
        <v>905</v>
      </c>
      <c r="B41" s="824"/>
      <c r="C41" s="824"/>
      <c r="D41" s="824"/>
      <c r="E41" s="824"/>
      <c r="F41" s="824"/>
      <c r="G41" s="824"/>
      <c r="H41" s="824"/>
      <c r="I41" s="824"/>
      <c r="J41" s="824"/>
      <c r="K41" s="824"/>
      <c r="L41" s="824"/>
      <c r="M41" s="824"/>
      <c r="N41" s="824"/>
      <c r="O41" s="824"/>
      <c r="P41" s="824"/>
      <c r="Q41" s="11"/>
      <c r="R41" s="11"/>
      <c r="S41" s="11"/>
      <c r="T41" s="11"/>
    </row>
    <row r="42" spans="1:20" ht="18" customHeight="1"/>
    <row r="44" spans="1:20" ht="13.9" customHeight="1">
      <c r="A44" s="817" t="s">
        <v>181</v>
      </c>
      <c r="B44" s="817"/>
      <c r="C44" s="817"/>
      <c r="D44" s="817"/>
      <c r="E44" s="817"/>
      <c r="F44" s="817"/>
      <c r="G44" s="817"/>
      <c r="H44" s="817"/>
      <c r="I44" s="817"/>
    </row>
    <row r="45" spans="1:20" ht="13.9" customHeight="1">
      <c r="A45" s="807" t="s">
        <v>58</v>
      </c>
      <c r="B45" s="807" t="s">
        <v>25</v>
      </c>
      <c r="C45" s="807"/>
      <c r="D45" s="807"/>
      <c r="E45" s="809" t="s">
        <v>26</v>
      </c>
      <c r="F45" s="809"/>
      <c r="G45" s="809"/>
      <c r="H45" s="810" t="s">
        <v>146</v>
      </c>
      <c r="I45"/>
    </row>
    <row r="46" spans="1:20" ht="15">
      <c r="A46" s="807"/>
      <c r="B46" s="47" t="s">
        <v>173</v>
      </c>
      <c r="C46" s="70" t="s">
        <v>103</v>
      </c>
      <c r="D46" s="47" t="s">
        <v>17</v>
      </c>
      <c r="E46" s="47" t="s">
        <v>173</v>
      </c>
      <c r="F46" s="70" t="s">
        <v>103</v>
      </c>
      <c r="G46" s="47" t="s">
        <v>17</v>
      </c>
      <c r="H46" s="811"/>
      <c r="I46"/>
    </row>
    <row r="47" spans="1:20" ht="14.25">
      <c r="A47" s="27" t="s">
        <v>848</v>
      </c>
      <c r="B47" s="50">
        <v>2.69</v>
      </c>
      <c r="C47" s="49">
        <v>1.79</v>
      </c>
      <c r="D47" s="370">
        <f>B47+C47</f>
        <v>4.4800000000000004</v>
      </c>
      <c r="E47" s="9">
        <v>4.03</v>
      </c>
      <c r="F47" s="50">
        <v>2.68</v>
      </c>
      <c r="G47" s="50">
        <f>E47+F47</f>
        <v>6.7100000000000009</v>
      </c>
      <c r="H47" s="50"/>
      <c r="I47"/>
    </row>
    <row r="48" spans="1:20" ht="17.25" customHeight="1">
      <c r="A48" s="27" t="s">
        <v>746</v>
      </c>
      <c r="B48" s="50">
        <v>2.98</v>
      </c>
      <c r="C48" s="715">
        <v>1.99</v>
      </c>
      <c r="D48" s="370">
        <f>SUM(B48:C48)</f>
        <v>4.97</v>
      </c>
      <c r="E48" s="9">
        <v>4.47</v>
      </c>
      <c r="F48" s="8">
        <v>2.98</v>
      </c>
      <c r="G48" s="50">
        <f>SUM(E48:F48)</f>
        <v>7.4499999999999993</v>
      </c>
      <c r="H48" s="50"/>
      <c r="I48"/>
    </row>
    <row r="49" spans="1:20" ht="15" customHeight="1">
      <c r="A49" s="808" t="s">
        <v>229</v>
      </c>
      <c r="B49" s="808"/>
      <c r="C49" s="808"/>
      <c r="D49" s="808"/>
      <c r="E49" s="808"/>
      <c r="F49" s="808"/>
      <c r="G49" s="808"/>
      <c r="H49" s="808"/>
      <c r="I49" s="808"/>
      <c r="J49" s="808"/>
      <c r="K49" s="808"/>
      <c r="L49" s="808"/>
      <c r="M49" s="808"/>
      <c r="N49" s="808"/>
      <c r="O49" s="808"/>
      <c r="P49" s="808"/>
      <c r="Q49" s="808"/>
      <c r="R49" s="808"/>
      <c r="S49" s="808"/>
      <c r="T49" s="808"/>
    </row>
    <row r="50" spans="1:20" ht="15">
      <c r="A50" s="117"/>
      <c r="B50" s="261"/>
      <c r="C50" s="261"/>
      <c r="D50" s="12"/>
      <c r="E50" s="12"/>
      <c r="F50" s="262"/>
      <c r="G50" s="262"/>
      <c r="H50" s="262"/>
      <c r="I50"/>
    </row>
    <row r="51" spans="1:20" ht="15">
      <c r="A51" s="28"/>
      <c r="B51" s="264"/>
      <c r="C51" s="264"/>
      <c r="D51" s="264"/>
      <c r="E51" s="264"/>
      <c r="F51" s="264"/>
      <c r="G51" s="264"/>
      <c r="H51" s="361"/>
      <c r="I51"/>
    </row>
    <row r="54" spans="1:20" s="15" customFormat="1" ht="12.75" customHeight="1">
      <c r="A54" s="14"/>
      <c r="B54" s="803" t="s">
        <v>906</v>
      </c>
      <c r="C54" s="803"/>
      <c r="D54" s="803"/>
      <c r="E54" s="803"/>
      <c r="F54" s="14"/>
      <c r="G54" s="14"/>
      <c r="H54" s="364"/>
      <c r="I54" s="14"/>
      <c r="J54" s="364"/>
      <c r="K54" s="364"/>
      <c r="L54" s="364"/>
      <c r="M54" s="364"/>
      <c r="N54" s="804" t="s">
        <v>12</v>
      </c>
      <c r="O54" s="804"/>
      <c r="P54" s="804"/>
      <c r="Q54" s="804"/>
      <c r="R54" s="804"/>
      <c r="S54" s="364"/>
    </row>
    <row r="55" spans="1:20" s="15" customFormat="1" ht="12.75" customHeight="1">
      <c r="A55" s="364"/>
      <c r="B55" s="804" t="s">
        <v>907</v>
      </c>
      <c r="C55" s="804"/>
      <c r="D55" s="804"/>
      <c r="E55" s="804"/>
      <c r="F55" s="360"/>
      <c r="G55" s="360"/>
      <c r="H55" s="360"/>
      <c r="I55" s="360"/>
      <c r="J55" s="360"/>
      <c r="K55" s="360"/>
      <c r="L55" s="360"/>
      <c r="M55" s="360"/>
      <c r="N55" s="804" t="s">
        <v>13</v>
      </c>
      <c r="O55" s="804"/>
      <c r="P55" s="804"/>
      <c r="Q55" s="804"/>
      <c r="R55" s="804"/>
      <c r="S55" s="364"/>
    </row>
    <row r="56" spans="1:20" s="15" customFormat="1" ht="13.15" customHeight="1">
      <c r="A56" s="360" t="s">
        <v>92</v>
      </c>
      <c r="B56" s="804" t="s">
        <v>908</v>
      </c>
      <c r="C56" s="804"/>
      <c r="D56" s="804"/>
      <c r="E56" s="804"/>
      <c r="F56" s="360"/>
      <c r="G56" s="360"/>
      <c r="H56" s="360"/>
      <c r="I56" s="360"/>
      <c r="J56" s="360"/>
      <c r="K56" s="360"/>
      <c r="L56" s="360"/>
      <c r="M56" s="360"/>
      <c r="N56" s="803" t="s">
        <v>84</v>
      </c>
      <c r="O56" s="803"/>
      <c r="P56" s="803"/>
      <c r="Q56" s="803"/>
      <c r="R56" s="803"/>
      <c r="S56" s="360"/>
    </row>
    <row r="57" spans="1:20" ht="12.75" customHeight="1"/>
    <row r="58" spans="1:20" ht="15.75">
      <c r="A58" s="13" t="s">
        <v>11</v>
      </c>
    </row>
  </sheetData>
  <mergeCells count="179">
    <mergeCell ref="Q30:R30"/>
    <mergeCell ref="I28:J28"/>
    <mergeCell ref="O40:P40"/>
    <mergeCell ref="K39:L39"/>
    <mergeCell ref="M39:N39"/>
    <mergeCell ref="K37:L37"/>
    <mergeCell ref="I38:J38"/>
    <mergeCell ref="M29:N29"/>
    <mergeCell ref="O29:P29"/>
    <mergeCell ref="K28:L28"/>
    <mergeCell ref="J10:K10"/>
    <mergeCell ref="I40:J40"/>
    <mergeCell ref="M30:N30"/>
    <mergeCell ref="O30:P30"/>
    <mergeCell ref="M22:T22"/>
    <mergeCell ref="Q23:R23"/>
    <mergeCell ref="S30:T30"/>
    <mergeCell ref="S36:T36"/>
    <mergeCell ref="Q31:R31"/>
    <mergeCell ref="S31:T31"/>
    <mergeCell ref="S32:T32"/>
    <mergeCell ref="K30:L30"/>
    <mergeCell ref="O38:P38"/>
    <mergeCell ref="M40:N40"/>
    <mergeCell ref="O39:P39"/>
    <mergeCell ref="M38:N38"/>
    <mergeCell ref="S29:T29"/>
    <mergeCell ref="Q36:R36"/>
    <mergeCell ref="O32:P32"/>
    <mergeCell ref="Q32:R32"/>
    <mergeCell ref="S27:T27"/>
    <mergeCell ref="K29:L29"/>
    <mergeCell ref="S28:T28"/>
    <mergeCell ref="O28:P28"/>
    <mergeCell ref="G27:H27"/>
    <mergeCell ref="G25:H25"/>
    <mergeCell ref="B26:D26"/>
    <mergeCell ref="I26:J26"/>
    <mergeCell ref="B25:D25"/>
    <mergeCell ref="E24:F24"/>
    <mergeCell ref="B24:D24"/>
    <mergeCell ref="A15:G15"/>
    <mergeCell ref="C16:D16"/>
    <mergeCell ref="A16:B16"/>
    <mergeCell ref="A17:B17"/>
    <mergeCell ref="C17:D17"/>
    <mergeCell ref="A22:A23"/>
    <mergeCell ref="A21:S21"/>
    <mergeCell ref="Q24:R24"/>
    <mergeCell ref="S24:T24"/>
    <mergeCell ref="C18:D18"/>
    <mergeCell ref="I27:J27"/>
    <mergeCell ref="O23:P23"/>
    <mergeCell ref="K24:L24"/>
    <mergeCell ref="K25:L25"/>
    <mergeCell ref="M23:N23"/>
    <mergeCell ref="K23:L23"/>
    <mergeCell ref="O27:P27"/>
    <mergeCell ref="R1:S1"/>
    <mergeCell ref="A2:S2"/>
    <mergeCell ref="A3:S3"/>
    <mergeCell ref="A5:S5"/>
    <mergeCell ref="B9:C9"/>
    <mergeCell ref="A6:B6"/>
    <mergeCell ref="A7:I7"/>
    <mergeCell ref="D9:E9"/>
    <mergeCell ref="F9:G9"/>
    <mergeCell ref="H1:I1"/>
    <mergeCell ref="J9:K9"/>
    <mergeCell ref="H9:I9"/>
    <mergeCell ref="D10:E10"/>
    <mergeCell ref="F10:G10"/>
    <mergeCell ref="H10:I10"/>
    <mergeCell ref="B10:C10"/>
    <mergeCell ref="E23:F23"/>
    <mergeCell ref="I24:J24"/>
    <mergeCell ref="S23:T23"/>
    <mergeCell ref="E26:F26"/>
    <mergeCell ref="G26:H26"/>
    <mergeCell ref="I25:J25"/>
    <mergeCell ref="I23:J23"/>
    <mergeCell ref="Q26:R26"/>
    <mergeCell ref="E25:F25"/>
    <mergeCell ref="O26:P26"/>
    <mergeCell ref="K26:L26"/>
    <mergeCell ref="O25:P25"/>
    <mergeCell ref="S25:T25"/>
    <mergeCell ref="M26:N26"/>
    <mergeCell ref="S26:T26"/>
    <mergeCell ref="D11:E11"/>
    <mergeCell ref="F11:G11"/>
    <mergeCell ref="H11:I11"/>
    <mergeCell ref="F13:G13"/>
    <mergeCell ref="G24:H24"/>
    <mergeCell ref="B28:D28"/>
    <mergeCell ref="B36:D37"/>
    <mergeCell ref="B39:D39"/>
    <mergeCell ref="B31:D31"/>
    <mergeCell ref="E32:F32"/>
    <mergeCell ref="M25:N25"/>
    <mergeCell ref="B32:D32"/>
    <mergeCell ref="K32:L32"/>
    <mergeCell ref="E30:F30"/>
    <mergeCell ref="I39:J39"/>
    <mergeCell ref="I31:J31"/>
    <mergeCell ref="G32:H32"/>
    <mergeCell ref="G31:H31"/>
    <mergeCell ref="G30:H30"/>
    <mergeCell ref="I30:J30"/>
    <mergeCell ref="M32:N32"/>
    <mergeCell ref="E27:F27"/>
    <mergeCell ref="G29:H29"/>
    <mergeCell ref="B27:D27"/>
    <mergeCell ref="B29:D29"/>
    <mergeCell ref="E29:F29"/>
    <mergeCell ref="E28:F28"/>
    <mergeCell ref="G28:H28"/>
    <mergeCell ref="I29:J29"/>
    <mergeCell ref="Q27:R27"/>
    <mergeCell ref="M27:N27"/>
    <mergeCell ref="K27:L27"/>
    <mergeCell ref="M28:N28"/>
    <mergeCell ref="Q28:R28"/>
    <mergeCell ref="Q29:R29"/>
    <mergeCell ref="Q25:R25"/>
    <mergeCell ref="B11:C11"/>
    <mergeCell ref="M24:N24"/>
    <mergeCell ref="O24:P24"/>
    <mergeCell ref="G23:H23"/>
    <mergeCell ref="J13:K13"/>
    <mergeCell ref="J11:K11"/>
    <mergeCell ref="A18:B18"/>
    <mergeCell ref="D13:E13"/>
    <mergeCell ref="B22:D23"/>
    <mergeCell ref="E22:L22"/>
    <mergeCell ref="B12:C12"/>
    <mergeCell ref="H13:I13"/>
    <mergeCell ref="H12:I12"/>
    <mergeCell ref="D12:E12"/>
    <mergeCell ref="F12:G12"/>
    <mergeCell ref="B13:C13"/>
    <mergeCell ref="J12:K12"/>
    <mergeCell ref="E37:F37"/>
    <mergeCell ref="A44:I44"/>
    <mergeCell ref="B40:D40"/>
    <mergeCell ref="B30:D30"/>
    <mergeCell ref="E39:F39"/>
    <mergeCell ref="E40:F40"/>
    <mergeCell ref="E36:J36"/>
    <mergeCell ref="A41:P41"/>
    <mergeCell ref="E31:F31"/>
    <mergeCell ref="B34:H34"/>
    <mergeCell ref="I37:J37"/>
    <mergeCell ref="I32:J32"/>
    <mergeCell ref="M31:N31"/>
    <mergeCell ref="O31:P31"/>
    <mergeCell ref="K31:L31"/>
    <mergeCell ref="K36:P36"/>
    <mergeCell ref="G37:H37"/>
    <mergeCell ref="M37:N37"/>
    <mergeCell ref="O37:P37"/>
    <mergeCell ref="K38:L38"/>
    <mergeCell ref="B54:E54"/>
    <mergeCell ref="N54:R54"/>
    <mergeCell ref="G38:H38"/>
    <mergeCell ref="G40:H40"/>
    <mergeCell ref="B55:E55"/>
    <mergeCell ref="N55:R55"/>
    <mergeCell ref="B56:E56"/>
    <mergeCell ref="A45:A46"/>
    <mergeCell ref="A49:T49"/>
    <mergeCell ref="K40:L40"/>
    <mergeCell ref="B45:D45"/>
    <mergeCell ref="E45:G45"/>
    <mergeCell ref="H45:H46"/>
    <mergeCell ref="G39:H39"/>
    <mergeCell ref="B38:D38"/>
    <mergeCell ref="E38:F38"/>
    <mergeCell ref="N56:R56"/>
  </mergeCells>
  <phoneticPr fontId="0" type="noConversion"/>
  <printOptions horizontalCentered="1"/>
  <pageMargins left="0.70866141732283472" right="0.70866141732283472" top="0.23622047244094491" bottom="0" header="0.31496062992125984" footer="0.31496062992125984"/>
  <pageSetup paperSize="9" scale="67" orientation="landscape" r:id="rId1"/>
</worksheet>
</file>

<file path=xl/worksheets/sheet40.xml><?xml version="1.0" encoding="utf-8"?>
<worksheet xmlns="http://schemas.openxmlformats.org/spreadsheetml/2006/main" xmlns:r="http://schemas.openxmlformats.org/officeDocument/2006/relationships">
  <sheetPr codeName="Sheet40">
    <pageSetUpPr fitToPage="1"/>
  </sheetPr>
  <dimension ref="A1:O50"/>
  <sheetViews>
    <sheetView view="pageBreakPreview" topLeftCell="A31" zoomScaleSheetLayoutView="100" workbookViewId="0">
      <selection activeCell="E54" sqref="E54"/>
    </sheetView>
  </sheetViews>
  <sheetFormatPr defaultRowHeight="12.75"/>
  <cols>
    <col min="1" max="1" width="7.140625" customWidth="1"/>
    <col min="2" max="2" width="22.7109375" customWidth="1"/>
    <col min="3" max="3" width="14.5703125" customWidth="1"/>
    <col min="4" max="4" width="16.5703125" style="290" customWidth="1"/>
    <col min="5" max="8" width="18.42578125" style="290" customWidth="1"/>
  </cols>
  <sheetData>
    <row r="1" spans="1:15">
      <c r="H1" s="294" t="s">
        <v>517</v>
      </c>
    </row>
    <row r="2" spans="1:15" ht="18">
      <c r="A2" s="911" t="s">
        <v>0</v>
      </c>
      <c r="B2" s="911"/>
      <c r="C2" s="911"/>
      <c r="D2" s="911"/>
      <c r="E2" s="911"/>
      <c r="F2" s="911"/>
      <c r="G2" s="911"/>
      <c r="H2" s="911"/>
      <c r="I2" s="227"/>
      <c r="J2" s="227"/>
      <c r="K2" s="227"/>
      <c r="L2" s="227"/>
      <c r="M2" s="227"/>
      <c r="N2" s="227"/>
      <c r="O2" s="227"/>
    </row>
    <row r="3" spans="1:15" ht="21">
      <c r="A3" s="912" t="s">
        <v>745</v>
      </c>
      <c r="B3" s="912"/>
      <c r="C3" s="912"/>
      <c r="D3" s="912"/>
      <c r="E3" s="912"/>
      <c r="F3" s="912"/>
      <c r="G3" s="912"/>
      <c r="H3" s="912"/>
      <c r="I3" s="228"/>
      <c r="J3" s="228"/>
      <c r="K3" s="228"/>
      <c r="L3" s="228"/>
      <c r="M3" s="228"/>
      <c r="N3" s="228"/>
      <c r="O3" s="228"/>
    </row>
    <row r="4" spans="1:15" ht="15">
      <c r="A4" s="197"/>
      <c r="B4" s="197"/>
      <c r="C4" s="197"/>
      <c r="D4" s="287"/>
      <c r="E4" s="287"/>
      <c r="F4" s="287"/>
      <c r="G4" s="287"/>
      <c r="H4" s="287"/>
      <c r="I4" s="197"/>
      <c r="J4" s="197"/>
      <c r="K4" s="197"/>
      <c r="L4" s="197"/>
      <c r="M4" s="197"/>
      <c r="N4" s="197"/>
      <c r="O4" s="197"/>
    </row>
    <row r="5" spans="1:15" ht="18">
      <c r="A5" s="911" t="s">
        <v>516</v>
      </c>
      <c r="B5" s="911"/>
      <c r="C5" s="911"/>
      <c r="D5" s="911"/>
      <c r="E5" s="911"/>
      <c r="F5" s="911"/>
      <c r="G5" s="911"/>
      <c r="H5" s="911"/>
      <c r="I5" s="227"/>
      <c r="J5" s="227"/>
      <c r="K5" s="227"/>
      <c r="L5" s="227"/>
      <c r="M5" s="227"/>
      <c r="N5" s="227"/>
      <c r="O5" s="227"/>
    </row>
    <row r="6" spans="1:15" ht="15">
      <c r="A6" s="198" t="s">
        <v>253</v>
      </c>
      <c r="B6" s="198"/>
      <c r="C6" s="197"/>
      <c r="D6" s="287"/>
      <c r="E6" s="287"/>
      <c r="F6" s="1025" t="s">
        <v>831</v>
      </c>
      <c r="G6" s="1025"/>
      <c r="H6" s="1025"/>
      <c r="I6" s="197"/>
      <c r="J6" s="197"/>
      <c r="K6" s="197"/>
      <c r="L6" s="229"/>
      <c r="M6" s="229"/>
      <c r="N6" s="1023"/>
      <c r="O6" s="1023"/>
    </row>
    <row r="7" spans="1:15" ht="31.5" customHeight="1">
      <c r="A7" s="988" t="s">
        <v>2</v>
      </c>
      <c r="B7" s="988" t="s">
        <v>3</v>
      </c>
      <c r="C7" s="1024" t="s">
        <v>389</v>
      </c>
      <c r="D7" s="1020" t="s">
        <v>494</v>
      </c>
      <c r="E7" s="1021"/>
      <c r="F7" s="1021"/>
      <c r="G7" s="1021"/>
      <c r="H7" s="1022"/>
    </row>
    <row r="8" spans="1:15" ht="34.5" customHeight="1">
      <c r="A8" s="988"/>
      <c r="B8" s="988"/>
      <c r="C8" s="1024"/>
      <c r="D8" s="288" t="s">
        <v>495</v>
      </c>
      <c r="E8" s="288" t="s">
        <v>496</v>
      </c>
      <c r="F8" s="288" t="s">
        <v>497</v>
      </c>
      <c r="G8" s="288" t="s">
        <v>652</v>
      </c>
      <c r="H8" s="288" t="s">
        <v>47</v>
      </c>
    </row>
    <row r="9" spans="1:15" ht="15">
      <c r="A9" s="215">
        <v>1</v>
      </c>
      <c r="B9" s="215">
        <v>2</v>
      </c>
      <c r="C9" s="215">
        <v>3</v>
      </c>
      <c r="D9" s="215">
        <v>4</v>
      </c>
      <c r="E9" s="215">
        <v>5</v>
      </c>
      <c r="F9" s="215">
        <v>6</v>
      </c>
      <c r="G9" s="215">
        <v>7</v>
      </c>
      <c r="H9" s="215">
        <v>8</v>
      </c>
    </row>
    <row r="10" spans="1:15" ht="15">
      <c r="A10" s="467">
        <v>1</v>
      </c>
      <c r="B10" s="397" t="s">
        <v>912</v>
      </c>
      <c r="C10" s="215">
        <f>'AT-10 E'!C9</f>
        <v>830</v>
      </c>
      <c r="D10" s="215">
        <f>C10-G10</f>
        <v>0</v>
      </c>
      <c r="E10" s="215">
        <v>0</v>
      </c>
      <c r="F10" s="215">
        <v>0</v>
      </c>
      <c r="G10" s="215">
        <v>830</v>
      </c>
      <c r="H10" s="215"/>
    </row>
    <row r="11" spans="1:15" ht="15">
      <c r="A11" s="467">
        <v>2</v>
      </c>
      <c r="B11" s="397" t="s">
        <v>913</v>
      </c>
      <c r="C11" s="215">
        <f>'AT-10 E'!C10</f>
        <v>1283</v>
      </c>
      <c r="D11" s="215">
        <f t="shared" ref="D11:D43" si="0">C11-G11</f>
        <v>112</v>
      </c>
      <c r="E11" s="215">
        <v>0</v>
      </c>
      <c r="F11" s="215">
        <v>0</v>
      </c>
      <c r="G11" s="215">
        <v>1171</v>
      </c>
      <c r="H11" s="215"/>
    </row>
    <row r="12" spans="1:15" ht="15">
      <c r="A12" s="467">
        <v>3</v>
      </c>
      <c r="B12" s="397" t="s">
        <v>914</v>
      </c>
      <c r="C12" s="215">
        <f>'AT-10 E'!C11</f>
        <v>2030</v>
      </c>
      <c r="D12" s="215">
        <f t="shared" si="0"/>
        <v>2030</v>
      </c>
      <c r="E12" s="215">
        <v>0</v>
      </c>
      <c r="F12" s="215">
        <v>0</v>
      </c>
      <c r="G12" s="215">
        <v>0</v>
      </c>
      <c r="H12" s="215"/>
    </row>
    <row r="13" spans="1:15" ht="15">
      <c r="A13" s="467">
        <v>4</v>
      </c>
      <c r="B13" s="397" t="s">
        <v>915</v>
      </c>
      <c r="C13" s="215">
        <f>'AT-10 E'!C12</f>
        <v>1529</v>
      </c>
      <c r="D13" s="215">
        <f t="shared" si="0"/>
        <v>1529</v>
      </c>
      <c r="E13" s="215">
        <v>0</v>
      </c>
      <c r="F13" s="215">
        <v>0</v>
      </c>
      <c r="G13" s="215">
        <v>0</v>
      </c>
      <c r="H13" s="215"/>
    </row>
    <row r="14" spans="1:15" ht="15">
      <c r="A14" s="467">
        <v>5</v>
      </c>
      <c r="B14" s="397" t="s">
        <v>916</v>
      </c>
      <c r="C14" s="215">
        <f>'AT-10 E'!C13</f>
        <v>2254</v>
      </c>
      <c r="D14" s="215">
        <f t="shared" si="0"/>
        <v>2254</v>
      </c>
      <c r="E14" s="215">
        <v>0</v>
      </c>
      <c r="F14" s="215">
        <v>0</v>
      </c>
      <c r="G14" s="215">
        <v>0</v>
      </c>
      <c r="H14" s="215"/>
    </row>
    <row r="15" spans="1:15" ht="15">
      <c r="A15" s="467">
        <v>6</v>
      </c>
      <c r="B15" s="397" t="s">
        <v>917</v>
      </c>
      <c r="C15" s="215">
        <f>'AT-10 E'!C14</f>
        <v>1203</v>
      </c>
      <c r="D15" s="215">
        <f t="shared" si="0"/>
        <v>1203</v>
      </c>
      <c r="E15" s="215">
        <v>0</v>
      </c>
      <c r="F15" s="215">
        <v>0</v>
      </c>
      <c r="G15" s="215">
        <v>0</v>
      </c>
      <c r="H15" s="215"/>
    </row>
    <row r="16" spans="1:15" ht="15">
      <c r="A16" s="467">
        <v>7</v>
      </c>
      <c r="B16" s="397" t="s">
        <v>918</v>
      </c>
      <c r="C16" s="215">
        <f>'AT-10 E'!C15</f>
        <v>1447</v>
      </c>
      <c r="D16" s="215">
        <f t="shared" si="0"/>
        <v>1427</v>
      </c>
      <c r="E16" s="215">
        <v>0</v>
      </c>
      <c r="F16" s="215">
        <v>0</v>
      </c>
      <c r="G16" s="215">
        <v>20</v>
      </c>
      <c r="H16" s="215"/>
    </row>
    <row r="17" spans="1:8" ht="15">
      <c r="A17" s="467">
        <v>8</v>
      </c>
      <c r="B17" s="397" t="s">
        <v>919</v>
      </c>
      <c r="C17" s="215">
        <f>'AT-10 E'!C16</f>
        <v>2018</v>
      </c>
      <c r="D17" s="215">
        <f t="shared" si="0"/>
        <v>2018</v>
      </c>
      <c r="E17" s="215">
        <v>0</v>
      </c>
      <c r="F17" s="215">
        <v>0</v>
      </c>
      <c r="G17" s="215">
        <v>0</v>
      </c>
      <c r="H17" s="215"/>
    </row>
    <row r="18" spans="1:8" ht="15">
      <c r="A18" s="467">
        <v>9</v>
      </c>
      <c r="B18" s="397" t="s">
        <v>920</v>
      </c>
      <c r="C18" s="215">
        <f>'AT-10 E'!C17</f>
        <v>1636</v>
      </c>
      <c r="D18" s="215">
        <f t="shared" si="0"/>
        <v>1636</v>
      </c>
      <c r="E18" s="215">
        <v>0</v>
      </c>
      <c r="F18" s="215">
        <v>0</v>
      </c>
      <c r="G18" s="215">
        <v>0</v>
      </c>
      <c r="H18" s="215"/>
    </row>
    <row r="19" spans="1:8" ht="15">
      <c r="A19" s="467">
        <v>10</v>
      </c>
      <c r="B19" s="397" t="s">
        <v>921</v>
      </c>
      <c r="C19" s="215">
        <f>'AT-10 E'!C18</f>
        <v>2399</v>
      </c>
      <c r="D19" s="215">
        <f t="shared" si="0"/>
        <v>2399</v>
      </c>
      <c r="E19" s="215">
        <v>0</v>
      </c>
      <c r="F19" s="215">
        <v>0</v>
      </c>
      <c r="G19" s="215">
        <v>0</v>
      </c>
      <c r="H19" s="215"/>
    </row>
    <row r="20" spans="1:8" ht="15">
      <c r="A20" s="467">
        <v>11</v>
      </c>
      <c r="B20" s="397" t="s">
        <v>922</v>
      </c>
      <c r="C20" s="215">
        <f>'AT-10 E'!C19</f>
        <v>1473</v>
      </c>
      <c r="D20" s="215">
        <f t="shared" si="0"/>
        <v>1473</v>
      </c>
      <c r="E20" s="215">
        <v>0</v>
      </c>
      <c r="F20" s="215">
        <v>0</v>
      </c>
      <c r="G20" s="215">
        <v>0</v>
      </c>
      <c r="H20" s="215"/>
    </row>
    <row r="21" spans="1:8" ht="15">
      <c r="A21" s="467">
        <v>12</v>
      </c>
      <c r="B21" s="397" t="s">
        <v>923</v>
      </c>
      <c r="C21" s="215">
        <f>'AT-10 E'!C20</f>
        <v>2379</v>
      </c>
      <c r="D21" s="215">
        <f t="shared" si="0"/>
        <v>2220</v>
      </c>
      <c r="E21" s="215">
        <v>0</v>
      </c>
      <c r="F21" s="215">
        <v>0</v>
      </c>
      <c r="G21" s="215">
        <v>159</v>
      </c>
      <c r="H21" s="215"/>
    </row>
    <row r="22" spans="1:8" ht="15">
      <c r="A22" s="467">
        <v>13</v>
      </c>
      <c r="B22" s="397" t="s">
        <v>924</v>
      </c>
      <c r="C22" s="215">
        <f>'AT-10 E'!C21</f>
        <v>1964</v>
      </c>
      <c r="D22" s="215">
        <f t="shared" si="0"/>
        <v>1964</v>
      </c>
      <c r="E22" s="215">
        <v>0</v>
      </c>
      <c r="F22" s="215">
        <v>0</v>
      </c>
      <c r="G22" s="215">
        <v>0</v>
      </c>
      <c r="H22" s="215"/>
    </row>
    <row r="23" spans="1:8" ht="15">
      <c r="A23" s="467">
        <v>14</v>
      </c>
      <c r="B23" s="397" t="s">
        <v>925</v>
      </c>
      <c r="C23" s="215">
        <f>'AT-10 E'!C22</f>
        <v>926</v>
      </c>
      <c r="D23" s="215">
        <f t="shared" si="0"/>
        <v>854</v>
      </c>
      <c r="E23" s="215">
        <v>0</v>
      </c>
      <c r="F23" s="215">
        <v>0</v>
      </c>
      <c r="G23" s="215">
        <v>72</v>
      </c>
      <c r="H23" s="215"/>
    </row>
    <row r="24" spans="1:8" ht="15">
      <c r="A24" s="467">
        <v>15</v>
      </c>
      <c r="B24" s="397" t="s">
        <v>926</v>
      </c>
      <c r="C24" s="215">
        <f>'AT-10 E'!C23</f>
        <v>485</v>
      </c>
      <c r="D24" s="215">
        <f t="shared" si="0"/>
        <v>485</v>
      </c>
      <c r="E24" s="215">
        <v>0</v>
      </c>
      <c r="F24" s="215">
        <v>0</v>
      </c>
      <c r="G24" s="215">
        <v>0</v>
      </c>
      <c r="H24" s="215"/>
    </row>
    <row r="25" spans="1:8" ht="15">
      <c r="A25" s="467">
        <v>16</v>
      </c>
      <c r="B25" s="397" t="s">
        <v>927</v>
      </c>
      <c r="C25" s="215">
        <f>'AT-10 E'!C24</f>
        <v>2641</v>
      </c>
      <c r="D25" s="215">
        <f t="shared" si="0"/>
        <v>2641</v>
      </c>
      <c r="E25" s="215">
        <v>0</v>
      </c>
      <c r="F25" s="215">
        <v>0</v>
      </c>
      <c r="G25" s="215">
        <v>0</v>
      </c>
      <c r="H25" s="215"/>
    </row>
    <row r="26" spans="1:8" ht="15">
      <c r="A26" s="467">
        <v>17</v>
      </c>
      <c r="B26" s="397" t="s">
        <v>928</v>
      </c>
      <c r="C26" s="215">
        <f>'AT-10 E'!C25</f>
        <v>1580</v>
      </c>
      <c r="D26" s="215">
        <f t="shared" si="0"/>
        <v>1580</v>
      </c>
      <c r="E26" s="215">
        <v>0</v>
      </c>
      <c r="F26" s="215">
        <v>0</v>
      </c>
      <c r="G26" s="215">
        <v>0</v>
      </c>
      <c r="H26" s="215"/>
    </row>
    <row r="27" spans="1:8" ht="15">
      <c r="A27" s="470">
        <v>18</v>
      </c>
      <c r="B27" s="398" t="s">
        <v>929</v>
      </c>
      <c r="C27" s="215">
        <f>'AT-10 E'!C26</f>
        <v>1397</v>
      </c>
      <c r="D27" s="215">
        <f t="shared" si="0"/>
        <v>1262</v>
      </c>
      <c r="E27" s="215">
        <v>0</v>
      </c>
      <c r="F27" s="215">
        <v>0</v>
      </c>
      <c r="G27" s="215">
        <v>135</v>
      </c>
      <c r="H27" s="215"/>
    </row>
    <row r="28" spans="1:8" ht="15">
      <c r="A28" s="467">
        <v>19</v>
      </c>
      <c r="B28" s="397" t="s">
        <v>930</v>
      </c>
      <c r="C28" s="215">
        <f>'AT-10 E'!C27</f>
        <v>940</v>
      </c>
      <c r="D28" s="215">
        <f t="shared" si="0"/>
        <v>940</v>
      </c>
      <c r="E28" s="215">
        <v>0</v>
      </c>
      <c r="F28" s="215">
        <v>0</v>
      </c>
      <c r="G28" s="215">
        <v>0</v>
      </c>
      <c r="H28" s="215"/>
    </row>
    <row r="29" spans="1:8" ht="15">
      <c r="A29" s="470">
        <v>20</v>
      </c>
      <c r="B29" s="398" t="s">
        <v>931</v>
      </c>
      <c r="C29" s="215">
        <f>'AT-10 E'!C28</f>
        <v>1081</v>
      </c>
      <c r="D29" s="215">
        <f t="shared" si="0"/>
        <v>15</v>
      </c>
      <c r="E29" s="215">
        <v>0</v>
      </c>
      <c r="F29" s="215">
        <v>0</v>
      </c>
      <c r="G29" s="215">
        <v>1066</v>
      </c>
      <c r="H29" s="215"/>
    </row>
    <row r="30" spans="1:8" ht="15">
      <c r="A30" s="467">
        <v>21</v>
      </c>
      <c r="B30" s="397" t="s">
        <v>932</v>
      </c>
      <c r="C30" s="215">
        <f>'AT-10 E'!C29</f>
        <v>1084</v>
      </c>
      <c r="D30" s="215">
        <f t="shared" si="0"/>
        <v>1084</v>
      </c>
      <c r="E30" s="215">
        <v>0</v>
      </c>
      <c r="F30" s="215">
        <v>0</v>
      </c>
      <c r="G30" s="215">
        <v>0</v>
      </c>
      <c r="H30" s="215"/>
    </row>
    <row r="31" spans="1:8" ht="15">
      <c r="A31" s="467">
        <v>22</v>
      </c>
      <c r="B31" s="397" t="s">
        <v>933</v>
      </c>
      <c r="C31" s="215">
        <f>'AT-10 E'!C30</f>
        <v>1260</v>
      </c>
      <c r="D31" s="215">
        <f t="shared" si="0"/>
        <v>1242</v>
      </c>
      <c r="E31" s="215">
        <v>0</v>
      </c>
      <c r="F31" s="215">
        <v>0</v>
      </c>
      <c r="G31" s="215">
        <v>18</v>
      </c>
      <c r="H31" s="215"/>
    </row>
    <row r="32" spans="1:8" ht="15">
      <c r="A32" s="467">
        <v>23</v>
      </c>
      <c r="B32" s="397" t="s">
        <v>934</v>
      </c>
      <c r="C32" s="215">
        <f>'AT-10 E'!C31</f>
        <v>1520</v>
      </c>
      <c r="D32" s="215">
        <f t="shared" si="0"/>
        <v>1463</v>
      </c>
      <c r="E32" s="215">
        <v>0</v>
      </c>
      <c r="F32" s="215">
        <v>0</v>
      </c>
      <c r="G32" s="215">
        <v>57</v>
      </c>
      <c r="H32" s="215"/>
    </row>
    <row r="33" spans="1:9" ht="15">
      <c r="A33" s="467">
        <v>24</v>
      </c>
      <c r="B33" s="397" t="s">
        <v>935</v>
      </c>
      <c r="C33" s="215">
        <f>'AT-10 E'!C32</f>
        <v>852</v>
      </c>
      <c r="D33" s="215">
        <f t="shared" si="0"/>
        <v>852</v>
      </c>
      <c r="E33" s="215">
        <v>0</v>
      </c>
      <c r="F33" s="215">
        <v>0</v>
      </c>
      <c r="G33" s="215">
        <v>0</v>
      </c>
      <c r="H33" s="215"/>
    </row>
    <row r="34" spans="1:9" ht="15">
      <c r="A34" s="467">
        <v>25</v>
      </c>
      <c r="B34" s="397" t="s">
        <v>936</v>
      </c>
      <c r="C34" s="215">
        <f>'AT-10 E'!C33</f>
        <v>1796</v>
      </c>
      <c r="D34" s="215">
        <f t="shared" si="0"/>
        <v>1250</v>
      </c>
      <c r="E34" s="215">
        <v>0</v>
      </c>
      <c r="F34" s="215">
        <v>0</v>
      </c>
      <c r="G34" s="215">
        <v>546</v>
      </c>
      <c r="H34" s="215"/>
    </row>
    <row r="35" spans="1:9" ht="15">
      <c r="A35" s="467">
        <v>26</v>
      </c>
      <c r="B35" s="397" t="s">
        <v>937</v>
      </c>
      <c r="C35" s="215">
        <f>'AT-10 E'!C34</f>
        <v>2248</v>
      </c>
      <c r="D35" s="215">
        <f t="shared" si="0"/>
        <v>1829</v>
      </c>
      <c r="E35" s="215">
        <v>0</v>
      </c>
      <c r="F35" s="215">
        <v>0</v>
      </c>
      <c r="G35" s="215">
        <v>419</v>
      </c>
      <c r="H35" s="215"/>
    </row>
    <row r="36" spans="1:9" ht="15">
      <c r="A36" s="467">
        <v>27</v>
      </c>
      <c r="B36" s="397" t="s">
        <v>938</v>
      </c>
      <c r="C36" s="215">
        <f>'AT-10 E'!C35</f>
        <v>1681</v>
      </c>
      <c r="D36" s="215">
        <f t="shared" si="0"/>
        <v>1611</v>
      </c>
      <c r="E36" s="215">
        <v>0</v>
      </c>
      <c r="F36" s="215">
        <v>0</v>
      </c>
      <c r="G36" s="215">
        <v>70</v>
      </c>
      <c r="H36" s="215"/>
    </row>
    <row r="37" spans="1:9" ht="15">
      <c r="A37" s="467">
        <v>28</v>
      </c>
      <c r="B37" s="397" t="s">
        <v>939</v>
      </c>
      <c r="C37" s="215">
        <f>'AT-10 E'!C36</f>
        <v>2325</v>
      </c>
      <c r="D37" s="215">
        <f t="shared" si="0"/>
        <v>2325</v>
      </c>
      <c r="E37" s="215">
        <v>0</v>
      </c>
      <c r="F37" s="215">
        <v>0</v>
      </c>
      <c r="G37" s="215">
        <v>0</v>
      </c>
      <c r="H37" s="215"/>
    </row>
    <row r="38" spans="1:9" ht="15">
      <c r="A38" s="467">
        <v>29</v>
      </c>
      <c r="B38" s="397" t="s">
        <v>940</v>
      </c>
      <c r="C38" s="215">
        <f>'AT-10 E'!C37</f>
        <v>1769</v>
      </c>
      <c r="D38" s="215">
        <f t="shared" si="0"/>
        <v>1769</v>
      </c>
      <c r="E38" s="215">
        <v>0</v>
      </c>
      <c r="F38" s="215">
        <v>0</v>
      </c>
      <c r="G38" s="215">
        <v>0</v>
      </c>
      <c r="H38" s="202"/>
    </row>
    <row r="39" spans="1:9" ht="15">
      <c r="A39" s="467">
        <v>30</v>
      </c>
      <c r="B39" s="397" t="s">
        <v>941</v>
      </c>
      <c r="C39" s="215">
        <f>'AT-10 E'!C38</f>
        <v>1996</v>
      </c>
      <c r="D39" s="215">
        <f t="shared" si="0"/>
        <v>1445</v>
      </c>
      <c r="E39" s="215">
        <v>0</v>
      </c>
      <c r="F39" s="215">
        <v>0</v>
      </c>
      <c r="G39" s="215">
        <v>551</v>
      </c>
      <c r="H39" s="202"/>
    </row>
    <row r="40" spans="1:9" ht="15">
      <c r="A40" s="467">
        <v>31</v>
      </c>
      <c r="B40" s="397" t="s">
        <v>942</v>
      </c>
      <c r="C40" s="215">
        <f>'AT-10 E'!C39</f>
        <v>2359</v>
      </c>
      <c r="D40" s="215">
        <f t="shared" si="0"/>
        <v>2161</v>
      </c>
      <c r="E40" s="215">
        <v>0</v>
      </c>
      <c r="F40" s="215">
        <v>0</v>
      </c>
      <c r="G40" s="215">
        <v>198</v>
      </c>
      <c r="H40" s="202"/>
    </row>
    <row r="41" spans="1:9" ht="15">
      <c r="A41" s="467">
        <v>32</v>
      </c>
      <c r="B41" s="397" t="s">
        <v>943</v>
      </c>
      <c r="C41" s="215">
        <f>'AT-10 E'!C40</f>
        <v>1156</v>
      </c>
      <c r="D41" s="215">
        <f t="shared" si="0"/>
        <v>1156</v>
      </c>
      <c r="E41" s="215">
        <v>0</v>
      </c>
      <c r="F41" s="215">
        <v>0</v>
      </c>
      <c r="G41" s="215">
        <v>0</v>
      </c>
      <c r="H41" s="202"/>
    </row>
    <row r="42" spans="1:9" ht="15">
      <c r="A42" s="467">
        <v>33</v>
      </c>
      <c r="B42" s="397" t="s">
        <v>944</v>
      </c>
      <c r="C42" s="215">
        <f>'AT-10 E'!C41</f>
        <v>1719</v>
      </c>
      <c r="D42" s="215">
        <f t="shared" si="0"/>
        <v>1719</v>
      </c>
      <c r="E42" s="215">
        <v>0</v>
      </c>
      <c r="F42" s="215">
        <v>0</v>
      </c>
      <c r="G42" s="215">
        <v>0</v>
      </c>
      <c r="H42" s="202"/>
    </row>
    <row r="43" spans="1:9" ht="15">
      <c r="A43" s="467">
        <v>34</v>
      </c>
      <c r="B43" s="397" t="s">
        <v>945</v>
      </c>
      <c r="C43" s="215">
        <f>'AT-10 E'!C42</f>
        <v>1101</v>
      </c>
      <c r="D43" s="215">
        <f t="shared" si="0"/>
        <v>1047</v>
      </c>
      <c r="E43" s="215">
        <v>0</v>
      </c>
      <c r="F43" s="215">
        <v>0</v>
      </c>
      <c r="G43" s="215">
        <v>54</v>
      </c>
      <c r="H43" s="202"/>
    </row>
    <row r="44" spans="1:9" ht="15" customHeight="1">
      <c r="A44" s="144" t="s">
        <v>17</v>
      </c>
      <c r="B44" s="144"/>
      <c r="C44" s="215">
        <f>'AT-10 E'!C43</f>
        <v>54361</v>
      </c>
      <c r="D44" s="142">
        <f>SUM(D10:D43)</f>
        <v>48995</v>
      </c>
      <c r="E44" s="596">
        <f t="shared" ref="E44:H44" si="1">SUM(E10:E43)</f>
        <v>0</v>
      </c>
      <c r="F44" s="596">
        <f t="shared" si="1"/>
        <v>0</v>
      </c>
      <c r="G44" s="596">
        <f t="shared" si="1"/>
        <v>5366</v>
      </c>
      <c r="H44" s="596">
        <f t="shared" si="1"/>
        <v>0</v>
      </c>
    </row>
    <row r="45" spans="1:9" ht="15" customHeight="1">
      <c r="A45" s="204"/>
      <c r="B45" s="204"/>
      <c r="C45" s="204"/>
      <c r="D45" s="205"/>
      <c r="E45" s="205"/>
      <c r="F45" s="205"/>
      <c r="G45" s="205"/>
      <c r="H45" s="205"/>
    </row>
    <row r="46" spans="1:9" ht="15" customHeight="1">
      <c r="A46" s="204"/>
      <c r="B46" s="204"/>
      <c r="C46" s="204"/>
      <c r="D46" s="205"/>
      <c r="E46" s="205"/>
      <c r="F46" s="205"/>
      <c r="G46" s="205"/>
      <c r="H46" s="205"/>
    </row>
    <row r="47" spans="1:9" ht="15" customHeight="1">
      <c r="A47" s="803" t="s">
        <v>906</v>
      </c>
      <c r="B47" s="803"/>
      <c r="C47" s="803"/>
      <c r="D47" s="901" t="s">
        <v>12</v>
      </c>
      <c r="E47" s="901"/>
      <c r="F47" s="901"/>
      <c r="G47" s="901"/>
      <c r="H47" s="901"/>
      <c r="I47" s="901"/>
    </row>
    <row r="48" spans="1:9">
      <c r="A48" s="804" t="s">
        <v>907</v>
      </c>
      <c r="B48" s="804"/>
      <c r="C48" s="804"/>
      <c r="D48" s="901" t="s">
        <v>13</v>
      </c>
      <c r="E48" s="901"/>
      <c r="F48" s="901"/>
      <c r="G48" s="901"/>
      <c r="H48" s="901"/>
      <c r="I48" s="901"/>
    </row>
    <row r="49" spans="1:9">
      <c r="A49" s="804" t="s">
        <v>908</v>
      </c>
      <c r="B49" s="804"/>
      <c r="C49" s="804"/>
      <c r="D49" s="901" t="s">
        <v>87</v>
      </c>
      <c r="E49" s="901"/>
      <c r="F49" s="901"/>
      <c r="G49" s="901"/>
      <c r="H49" s="901"/>
      <c r="I49" s="901"/>
    </row>
    <row r="50" spans="1:9">
      <c r="D50" s="897" t="s">
        <v>84</v>
      </c>
      <c r="E50" s="897"/>
      <c r="F50" s="897"/>
      <c r="G50" s="897"/>
      <c r="H50" s="897"/>
      <c r="I50" s="204"/>
    </row>
  </sheetData>
  <mergeCells count="16">
    <mergeCell ref="N6:O6"/>
    <mergeCell ref="A7:A8"/>
    <mergeCell ref="B7:B8"/>
    <mergeCell ref="C7:C8"/>
    <mergeCell ref="F6:H6"/>
    <mergeCell ref="D48:I48"/>
    <mergeCell ref="D49:I49"/>
    <mergeCell ref="D50:H50"/>
    <mergeCell ref="A2:H2"/>
    <mergeCell ref="A3:H3"/>
    <mergeCell ref="A5:H5"/>
    <mergeCell ref="D7:H7"/>
    <mergeCell ref="D47:I47"/>
    <mergeCell ref="A47:C47"/>
    <mergeCell ref="A48:C48"/>
    <mergeCell ref="A49:C49"/>
  </mergeCells>
  <printOptions horizontalCentered="1"/>
  <pageMargins left="0.70866141732283472" right="0.70866141732283472" top="0.23622047244094491" bottom="0" header="0.31496062992125984" footer="0.31496062992125984"/>
  <pageSetup paperSize="9" scale="75" orientation="landscape" r:id="rId1"/>
  <colBreaks count="1" manualBreakCount="1">
    <brk id="8" max="1048575" man="1"/>
  </colBreaks>
</worksheet>
</file>

<file path=xl/worksheets/sheet41.xml><?xml version="1.0" encoding="utf-8"?>
<worksheet xmlns="http://schemas.openxmlformats.org/spreadsheetml/2006/main" xmlns:r="http://schemas.openxmlformats.org/officeDocument/2006/relationships">
  <sheetPr codeName="Sheet41">
    <pageSetUpPr fitToPage="1"/>
  </sheetPr>
  <dimension ref="A1:P52"/>
  <sheetViews>
    <sheetView view="pageBreakPreview" topLeftCell="A25" zoomScale="90" zoomScaleSheetLayoutView="90" workbookViewId="0">
      <selection activeCell="A47" sqref="A47:C49"/>
    </sheetView>
  </sheetViews>
  <sheetFormatPr defaultRowHeight="12.75"/>
  <cols>
    <col min="1" max="1" width="7" customWidth="1"/>
    <col min="2" max="2" width="18.7109375" customWidth="1"/>
    <col min="3" max="3" width="12" customWidth="1"/>
    <col min="4" max="4" width="7.140625" customWidth="1"/>
    <col min="5" max="5" width="6.42578125" customWidth="1"/>
    <col min="6" max="6" width="7.85546875" customWidth="1"/>
    <col min="7" max="7" width="9.28515625" customWidth="1"/>
    <col min="8" max="9" width="7.85546875" customWidth="1"/>
    <col min="10" max="11" width="10.42578125" style="290" customWidth="1"/>
    <col min="12" max="12" width="10.5703125" customWidth="1"/>
    <col min="13" max="13" width="10.42578125" customWidth="1"/>
    <col min="14" max="14" width="11.5703125" customWidth="1"/>
    <col min="15" max="15" width="13" customWidth="1"/>
  </cols>
  <sheetData>
    <row r="1" spans="1:15" ht="18">
      <c r="A1" s="911" t="s">
        <v>0</v>
      </c>
      <c r="B1" s="911"/>
      <c r="C1" s="911"/>
      <c r="D1" s="911"/>
      <c r="E1" s="911"/>
      <c r="F1" s="911"/>
      <c r="G1" s="911"/>
      <c r="H1" s="911"/>
      <c r="I1" s="911"/>
      <c r="J1" s="911"/>
      <c r="K1" s="911"/>
      <c r="L1" s="911"/>
      <c r="O1" s="237" t="s">
        <v>519</v>
      </c>
    </row>
    <row r="2" spans="1:15" ht="21">
      <c r="A2" s="912" t="s">
        <v>745</v>
      </c>
      <c r="B2" s="912"/>
      <c r="C2" s="912"/>
      <c r="D2" s="912"/>
      <c r="E2" s="912"/>
      <c r="F2" s="912"/>
      <c r="G2" s="912"/>
      <c r="H2" s="912"/>
      <c r="I2" s="912"/>
      <c r="J2" s="912"/>
      <c r="K2" s="912"/>
      <c r="L2" s="912"/>
    </row>
    <row r="3" spans="1:15" ht="15">
      <c r="A3" s="197"/>
      <c r="B3" s="197"/>
      <c r="C3" s="197"/>
      <c r="D3" s="197"/>
      <c r="E3" s="197"/>
      <c r="F3" s="197"/>
      <c r="G3" s="197"/>
      <c r="H3" s="197"/>
      <c r="I3" s="197"/>
      <c r="J3" s="287"/>
      <c r="K3" s="287"/>
    </row>
    <row r="4" spans="1:15" ht="18">
      <c r="A4" s="911" t="s">
        <v>518</v>
      </c>
      <c r="B4" s="911"/>
      <c r="C4" s="911"/>
      <c r="D4" s="911"/>
      <c r="E4" s="911"/>
      <c r="F4" s="911"/>
      <c r="G4" s="911"/>
      <c r="H4" s="911"/>
      <c r="I4" s="594"/>
      <c r="J4" s="306"/>
      <c r="K4" s="306"/>
    </row>
    <row r="5" spans="1:15" ht="15">
      <c r="A5" s="198" t="s">
        <v>911</v>
      </c>
      <c r="B5" s="198"/>
      <c r="C5" s="198"/>
      <c r="D5" s="198"/>
      <c r="E5" s="198"/>
      <c r="F5" s="198"/>
      <c r="G5" s="198"/>
      <c r="H5" s="197"/>
      <c r="I5" s="197"/>
      <c r="J5" s="287"/>
      <c r="K5" s="287"/>
      <c r="M5" s="1026" t="s">
        <v>831</v>
      </c>
      <c r="N5" s="1026"/>
      <c r="O5" s="1026"/>
    </row>
    <row r="6" spans="1:15" ht="28.5" customHeight="1">
      <c r="A6" s="986" t="s">
        <v>2</v>
      </c>
      <c r="B6" s="986" t="s">
        <v>37</v>
      </c>
      <c r="C6" s="834" t="s">
        <v>402</v>
      </c>
      <c r="D6" s="822" t="s">
        <v>452</v>
      </c>
      <c r="E6" s="822"/>
      <c r="F6" s="822"/>
      <c r="G6" s="822"/>
      <c r="H6" s="823"/>
      <c r="I6" s="591"/>
      <c r="J6" s="1027" t="s">
        <v>544</v>
      </c>
      <c r="K6" s="1027" t="s">
        <v>545</v>
      </c>
      <c r="L6" s="988" t="s">
        <v>498</v>
      </c>
      <c r="M6" s="988"/>
      <c r="N6" s="988"/>
      <c r="O6" s="988"/>
    </row>
    <row r="7" spans="1:15" ht="39" customHeight="1">
      <c r="A7" s="987"/>
      <c r="B7" s="987"/>
      <c r="C7" s="834"/>
      <c r="D7" s="5" t="s">
        <v>451</v>
      </c>
      <c r="E7" s="5" t="s">
        <v>403</v>
      </c>
      <c r="F7" s="491" t="s">
        <v>404</v>
      </c>
      <c r="G7" s="5" t="s">
        <v>405</v>
      </c>
      <c r="H7" s="5" t="s">
        <v>47</v>
      </c>
      <c r="I7" s="592"/>
      <c r="J7" s="1027"/>
      <c r="K7" s="1027"/>
      <c r="L7" s="230" t="s">
        <v>406</v>
      </c>
      <c r="M7" s="25" t="s">
        <v>499</v>
      </c>
      <c r="N7" s="5" t="s">
        <v>407</v>
      </c>
      <c r="O7" s="25" t="s">
        <v>408</v>
      </c>
    </row>
    <row r="8" spans="1:15" ht="15">
      <c r="A8" s="201" t="s">
        <v>260</v>
      </c>
      <c r="B8" s="201" t="s">
        <v>261</v>
      </c>
      <c r="C8" s="201" t="s">
        <v>262</v>
      </c>
      <c r="D8" s="201" t="s">
        <v>263</v>
      </c>
      <c r="E8" s="201" t="s">
        <v>264</v>
      </c>
      <c r="F8" s="201" t="s">
        <v>265</v>
      </c>
      <c r="G8" s="201" t="s">
        <v>266</v>
      </c>
      <c r="H8" s="201" t="s">
        <v>267</v>
      </c>
      <c r="I8" s="201"/>
      <c r="J8" s="307" t="s">
        <v>286</v>
      </c>
      <c r="K8" s="307" t="s">
        <v>287</v>
      </c>
      <c r="L8" s="201" t="s">
        <v>288</v>
      </c>
      <c r="M8" s="201" t="s">
        <v>316</v>
      </c>
      <c r="N8" s="201" t="s">
        <v>317</v>
      </c>
      <c r="O8" s="201" t="s">
        <v>318</v>
      </c>
    </row>
    <row r="9" spans="1:15" ht="15">
      <c r="A9" s="292">
        <v>1</v>
      </c>
      <c r="B9" s="480" t="s">
        <v>912</v>
      </c>
      <c r="C9" s="9">
        <f>'Mode of cooking'!C10</f>
        <v>830</v>
      </c>
      <c r="D9" s="9">
        <v>620</v>
      </c>
      <c r="E9" s="9">
        <v>150</v>
      </c>
      <c r="F9" s="9">
        <v>60</v>
      </c>
      <c r="G9" s="9">
        <v>0</v>
      </c>
      <c r="H9" s="9">
        <v>0</v>
      </c>
      <c r="I9" s="9"/>
      <c r="J9" s="9">
        <v>830</v>
      </c>
      <c r="K9" s="9">
        <v>830</v>
      </c>
      <c r="L9" s="9">
        <v>830</v>
      </c>
      <c r="M9" s="9">
        <v>830</v>
      </c>
      <c r="N9" s="9">
        <v>830</v>
      </c>
      <c r="O9" s="9">
        <v>830</v>
      </c>
    </row>
    <row r="10" spans="1:15" ht="15">
      <c r="A10" s="292">
        <v>2</v>
      </c>
      <c r="B10" s="480" t="s">
        <v>913</v>
      </c>
      <c r="C10" s="9">
        <f>'Mode of cooking'!C11</f>
        <v>1283</v>
      </c>
      <c r="D10" s="9">
        <v>967</v>
      </c>
      <c r="E10" s="9">
        <v>224</v>
      </c>
      <c r="F10" s="9">
        <v>92</v>
      </c>
      <c r="G10" s="9">
        <v>0</v>
      </c>
      <c r="H10" s="9">
        <v>0</v>
      </c>
      <c r="I10" s="9"/>
      <c r="J10" s="9">
        <v>1283</v>
      </c>
      <c r="K10" s="9">
        <v>1283</v>
      </c>
      <c r="L10" s="9">
        <v>1283</v>
      </c>
      <c r="M10" s="9">
        <v>1283</v>
      </c>
      <c r="N10" s="9">
        <v>1283</v>
      </c>
      <c r="O10" s="9">
        <v>1283</v>
      </c>
    </row>
    <row r="11" spans="1:15" ht="15">
      <c r="A11" s="292">
        <v>3</v>
      </c>
      <c r="B11" s="480" t="s">
        <v>914</v>
      </c>
      <c r="C11" s="9">
        <f>'Mode of cooking'!C12</f>
        <v>2030</v>
      </c>
      <c r="D11" s="9">
        <v>1507</v>
      </c>
      <c r="E11" s="9">
        <v>380</v>
      </c>
      <c r="F11" s="9">
        <v>143</v>
      </c>
      <c r="G11" s="9">
        <v>0</v>
      </c>
      <c r="H11" s="9">
        <v>0</v>
      </c>
      <c r="I11" s="9"/>
      <c r="J11" s="9">
        <v>2030</v>
      </c>
      <c r="K11" s="9">
        <v>2030</v>
      </c>
      <c r="L11" s="9">
        <v>2030</v>
      </c>
      <c r="M11" s="9">
        <v>2030</v>
      </c>
      <c r="N11" s="9">
        <v>2030</v>
      </c>
      <c r="O11" s="9">
        <v>2030</v>
      </c>
    </row>
    <row r="12" spans="1:15" ht="15">
      <c r="A12" s="292">
        <v>4</v>
      </c>
      <c r="B12" s="480" t="s">
        <v>915</v>
      </c>
      <c r="C12" s="9">
        <f>'Mode of cooking'!C13</f>
        <v>1529</v>
      </c>
      <c r="D12" s="9">
        <v>1137</v>
      </c>
      <c r="E12" s="9">
        <v>284</v>
      </c>
      <c r="F12" s="9">
        <v>108</v>
      </c>
      <c r="G12" s="9">
        <v>0</v>
      </c>
      <c r="H12" s="9">
        <v>0</v>
      </c>
      <c r="I12" s="9"/>
      <c r="J12" s="9">
        <v>1529</v>
      </c>
      <c r="K12" s="9">
        <v>1529</v>
      </c>
      <c r="L12" s="9">
        <v>1529</v>
      </c>
      <c r="M12" s="9">
        <v>1529</v>
      </c>
      <c r="N12" s="9">
        <v>1529</v>
      </c>
      <c r="O12" s="9">
        <v>1529</v>
      </c>
    </row>
    <row r="13" spans="1:15" ht="16.5" customHeight="1">
      <c r="A13" s="292">
        <v>5</v>
      </c>
      <c r="B13" s="480" t="s">
        <v>916</v>
      </c>
      <c r="C13" s="9">
        <f>'Mode of cooking'!C14</f>
        <v>2254</v>
      </c>
      <c r="D13" s="9">
        <v>1701</v>
      </c>
      <c r="E13" s="9">
        <v>393</v>
      </c>
      <c r="F13" s="9">
        <v>160</v>
      </c>
      <c r="G13" s="9">
        <v>0</v>
      </c>
      <c r="H13" s="9">
        <v>0</v>
      </c>
      <c r="I13" s="9"/>
      <c r="J13" s="9">
        <v>2254</v>
      </c>
      <c r="K13" s="9">
        <v>2254</v>
      </c>
      <c r="L13" s="9">
        <v>2254</v>
      </c>
      <c r="M13" s="9">
        <v>2254</v>
      </c>
      <c r="N13" s="9">
        <v>2254</v>
      </c>
      <c r="O13" s="9">
        <v>2254</v>
      </c>
    </row>
    <row r="14" spans="1:15" ht="15">
      <c r="A14" s="292">
        <v>6</v>
      </c>
      <c r="B14" s="480" t="s">
        <v>917</v>
      </c>
      <c r="C14" s="9">
        <f>'Mode of cooking'!C15</f>
        <v>1203</v>
      </c>
      <c r="D14" s="9">
        <v>896</v>
      </c>
      <c r="E14" s="9">
        <v>222</v>
      </c>
      <c r="F14" s="9">
        <v>85</v>
      </c>
      <c r="G14" s="9">
        <v>0</v>
      </c>
      <c r="H14" s="9">
        <v>0</v>
      </c>
      <c r="I14" s="9"/>
      <c r="J14" s="9">
        <v>1203</v>
      </c>
      <c r="K14" s="9">
        <v>1203</v>
      </c>
      <c r="L14" s="9">
        <v>1203</v>
      </c>
      <c r="M14" s="9">
        <v>1203</v>
      </c>
      <c r="N14" s="9">
        <v>1203</v>
      </c>
      <c r="O14" s="9">
        <v>1203</v>
      </c>
    </row>
    <row r="15" spans="1:15" ht="15">
      <c r="A15" s="292">
        <v>7</v>
      </c>
      <c r="B15" s="480" t="s">
        <v>918</v>
      </c>
      <c r="C15" s="9">
        <f>'Mode of cooking'!C16</f>
        <v>1447</v>
      </c>
      <c r="D15" s="9">
        <v>1076</v>
      </c>
      <c r="E15" s="9">
        <v>269</v>
      </c>
      <c r="F15" s="9">
        <v>102</v>
      </c>
      <c r="G15" s="9">
        <v>0</v>
      </c>
      <c r="H15" s="9">
        <v>0</v>
      </c>
      <c r="I15" s="9"/>
      <c r="J15" s="9">
        <v>1447</v>
      </c>
      <c r="K15" s="9">
        <v>1447</v>
      </c>
      <c r="L15" s="9">
        <v>1447</v>
      </c>
      <c r="M15" s="9">
        <v>1447</v>
      </c>
      <c r="N15" s="9">
        <v>1447</v>
      </c>
      <c r="O15" s="9">
        <v>1447</v>
      </c>
    </row>
    <row r="16" spans="1:15" ht="15">
      <c r="A16" s="292">
        <v>8</v>
      </c>
      <c r="B16" s="480" t="s">
        <v>919</v>
      </c>
      <c r="C16" s="9">
        <f>'Mode of cooking'!C17</f>
        <v>2018</v>
      </c>
      <c r="D16" s="9">
        <v>1518</v>
      </c>
      <c r="E16" s="9">
        <v>356</v>
      </c>
      <c r="F16" s="9">
        <v>144</v>
      </c>
      <c r="G16" s="9">
        <v>0</v>
      </c>
      <c r="H16" s="9">
        <v>0</v>
      </c>
      <c r="I16" s="9"/>
      <c r="J16" s="9">
        <v>2018</v>
      </c>
      <c r="K16" s="9">
        <v>2018</v>
      </c>
      <c r="L16" s="9">
        <v>2018</v>
      </c>
      <c r="M16" s="9">
        <v>2018</v>
      </c>
      <c r="N16" s="9">
        <v>2018</v>
      </c>
      <c r="O16" s="9">
        <v>2018</v>
      </c>
    </row>
    <row r="17" spans="1:15" ht="15">
      <c r="A17" s="292">
        <v>9</v>
      </c>
      <c r="B17" s="480" t="s">
        <v>920</v>
      </c>
      <c r="C17" s="9">
        <f>'Mode of cooking'!C18</f>
        <v>1636</v>
      </c>
      <c r="D17" s="9">
        <v>1225</v>
      </c>
      <c r="E17" s="9">
        <v>295</v>
      </c>
      <c r="F17" s="9">
        <v>116</v>
      </c>
      <c r="G17" s="9">
        <v>0</v>
      </c>
      <c r="H17" s="9">
        <v>0</v>
      </c>
      <c r="I17" s="9"/>
      <c r="J17" s="9">
        <v>1636</v>
      </c>
      <c r="K17" s="9">
        <v>1636</v>
      </c>
      <c r="L17" s="9">
        <v>1636</v>
      </c>
      <c r="M17" s="9">
        <v>1636</v>
      </c>
      <c r="N17" s="9">
        <v>1636</v>
      </c>
      <c r="O17" s="9">
        <v>1636</v>
      </c>
    </row>
    <row r="18" spans="1:15" ht="15">
      <c r="A18" s="292">
        <v>10</v>
      </c>
      <c r="B18" s="480" t="s">
        <v>921</v>
      </c>
      <c r="C18" s="9">
        <f>'Mode of cooking'!C19</f>
        <v>2399</v>
      </c>
      <c r="D18" s="9">
        <v>1805</v>
      </c>
      <c r="E18" s="9">
        <v>423</v>
      </c>
      <c r="F18" s="9">
        <v>171</v>
      </c>
      <c r="G18" s="9">
        <v>0</v>
      </c>
      <c r="H18" s="9">
        <v>0</v>
      </c>
      <c r="I18" s="9"/>
      <c r="J18" s="9">
        <v>2399</v>
      </c>
      <c r="K18" s="9">
        <v>2399</v>
      </c>
      <c r="L18" s="9">
        <v>2399</v>
      </c>
      <c r="M18" s="9">
        <v>2399</v>
      </c>
      <c r="N18" s="9">
        <v>2399</v>
      </c>
      <c r="O18" s="9">
        <v>2399</v>
      </c>
    </row>
    <row r="19" spans="1:15" ht="15">
      <c r="A19" s="292">
        <v>11</v>
      </c>
      <c r="B19" s="480" t="s">
        <v>922</v>
      </c>
      <c r="C19" s="9">
        <f>'Mode of cooking'!C20</f>
        <v>1473</v>
      </c>
      <c r="D19" s="9">
        <v>1092</v>
      </c>
      <c r="E19" s="9">
        <v>278</v>
      </c>
      <c r="F19" s="9">
        <v>103</v>
      </c>
      <c r="G19" s="9">
        <v>0</v>
      </c>
      <c r="H19" s="9">
        <v>0</v>
      </c>
      <c r="I19" s="9"/>
      <c r="J19" s="9">
        <v>1473</v>
      </c>
      <c r="K19" s="9">
        <v>1473</v>
      </c>
      <c r="L19" s="9">
        <v>1473</v>
      </c>
      <c r="M19" s="9">
        <v>1473</v>
      </c>
      <c r="N19" s="9">
        <v>1473</v>
      </c>
      <c r="O19" s="9">
        <v>1473</v>
      </c>
    </row>
    <row r="20" spans="1:15" ht="15">
      <c r="A20" s="292">
        <v>12</v>
      </c>
      <c r="B20" s="480" t="s">
        <v>923</v>
      </c>
      <c r="C20" s="9">
        <f>'Mode of cooking'!C21</f>
        <v>2379</v>
      </c>
      <c r="D20" s="9">
        <v>1757</v>
      </c>
      <c r="E20" s="9">
        <v>456</v>
      </c>
      <c r="F20" s="9">
        <v>166</v>
      </c>
      <c r="G20" s="9">
        <v>0</v>
      </c>
      <c r="H20" s="9">
        <v>0</v>
      </c>
      <c r="I20" s="9"/>
      <c r="J20" s="9">
        <v>2379</v>
      </c>
      <c r="K20" s="9">
        <v>2379</v>
      </c>
      <c r="L20" s="9">
        <v>2379</v>
      </c>
      <c r="M20" s="9">
        <v>2379</v>
      </c>
      <c r="N20" s="9">
        <v>2379</v>
      </c>
      <c r="O20" s="9">
        <v>2379</v>
      </c>
    </row>
    <row r="21" spans="1:15" ht="15">
      <c r="A21" s="292">
        <v>13</v>
      </c>
      <c r="B21" s="480" t="s">
        <v>924</v>
      </c>
      <c r="C21" s="9">
        <f>'Mode of cooking'!C22</f>
        <v>1964</v>
      </c>
      <c r="D21" s="9">
        <v>1451</v>
      </c>
      <c r="E21" s="9">
        <v>376</v>
      </c>
      <c r="F21" s="9">
        <v>137</v>
      </c>
      <c r="G21" s="9">
        <v>0</v>
      </c>
      <c r="H21" s="9">
        <v>0</v>
      </c>
      <c r="I21" s="9"/>
      <c r="J21" s="9">
        <v>1964</v>
      </c>
      <c r="K21" s="9">
        <v>1964</v>
      </c>
      <c r="L21" s="9">
        <v>1964</v>
      </c>
      <c r="M21" s="9">
        <v>1964</v>
      </c>
      <c r="N21" s="9">
        <v>1964</v>
      </c>
      <c r="O21" s="9">
        <v>1964</v>
      </c>
    </row>
    <row r="22" spans="1:15" ht="15">
      <c r="A22" s="292">
        <v>14</v>
      </c>
      <c r="B22" s="480" t="s">
        <v>925</v>
      </c>
      <c r="C22" s="9">
        <f>'Mode of cooking'!C23</f>
        <v>926</v>
      </c>
      <c r="D22" s="9">
        <v>691</v>
      </c>
      <c r="E22" s="9">
        <v>169</v>
      </c>
      <c r="F22" s="9">
        <v>66</v>
      </c>
      <c r="G22" s="9">
        <v>0</v>
      </c>
      <c r="H22" s="9">
        <v>0</v>
      </c>
      <c r="I22" s="9"/>
      <c r="J22" s="9">
        <v>926</v>
      </c>
      <c r="K22" s="9">
        <v>926</v>
      </c>
      <c r="L22" s="9">
        <v>926</v>
      </c>
      <c r="M22" s="9">
        <v>926</v>
      </c>
      <c r="N22" s="9">
        <v>926</v>
      </c>
      <c r="O22" s="9">
        <v>926</v>
      </c>
    </row>
    <row r="23" spans="1:15" ht="15">
      <c r="A23" s="292">
        <v>15</v>
      </c>
      <c r="B23" s="480" t="s">
        <v>926</v>
      </c>
      <c r="C23" s="9">
        <f>'Mode of cooking'!C24</f>
        <v>485</v>
      </c>
      <c r="D23" s="9">
        <v>370</v>
      </c>
      <c r="E23" s="9">
        <v>80</v>
      </c>
      <c r="F23" s="9">
        <v>35</v>
      </c>
      <c r="G23" s="9">
        <v>0</v>
      </c>
      <c r="H23" s="9">
        <v>0</v>
      </c>
      <c r="I23" s="9"/>
      <c r="J23" s="9">
        <v>485</v>
      </c>
      <c r="K23" s="9">
        <v>485</v>
      </c>
      <c r="L23" s="9">
        <v>485</v>
      </c>
      <c r="M23" s="9">
        <v>485</v>
      </c>
      <c r="N23" s="9">
        <v>485</v>
      </c>
      <c r="O23" s="9">
        <v>485</v>
      </c>
    </row>
    <row r="24" spans="1:15" ht="15">
      <c r="A24" s="292">
        <v>16</v>
      </c>
      <c r="B24" s="480" t="s">
        <v>927</v>
      </c>
      <c r="C24" s="9">
        <f>'Mode of cooking'!C25</f>
        <v>2641</v>
      </c>
      <c r="D24" s="9">
        <v>2050</v>
      </c>
      <c r="E24" s="9">
        <v>397</v>
      </c>
      <c r="F24" s="9">
        <v>194</v>
      </c>
      <c r="G24" s="9">
        <v>0</v>
      </c>
      <c r="H24" s="9">
        <v>0</v>
      </c>
      <c r="I24" s="9"/>
      <c r="J24" s="9">
        <v>2641</v>
      </c>
      <c r="K24" s="9">
        <v>2641</v>
      </c>
      <c r="L24" s="9">
        <v>2641</v>
      </c>
      <c r="M24" s="9">
        <v>2641</v>
      </c>
      <c r="N24" s="9">
        <v>2641</v>
      </c>
      <c r="O24" s="9">
        <v>2641</v>
      </c>
    </row>
    <row r="25" spans="1:15" ht="15">
      <c r="A25" s="292">
        <v>17</v>
      </c>
      <c r="B25" s="480" t="s">
        <v>928</v>
      </c>
      <c r="C25" s="9">
        <f>'Mode of cooking'!C26</f>
        <v>1580</v>
      </c>
      <c r="D25" s="9">
        <v>1186</v>
      </c>
      <c r="E25" s="9">
        <v>282</v>
      </c>
      <c r="F25" s="9">
        <v>112</v>
      </c>
      <c r="G25" s="9">
        <v>0</v>
      </c>
      <c r="H25" s="9">
        <v>0</v>
      </c>
      <c r="I25" s="9"/>
      <c r="J25" s="9">
        <v>1580</v>
      </c>
      <c r="K25" s="9">
        <v>1580</v>
      </c>
      <c r="L25" s="9">
        <v>1580</v>
      </c>
      <c r="M25" s="9">
        <v>1580</v>
      </c>
      <c r="N25" s="9">
        <v>1580</v>
      </c>
      <c r="O25" s="9">
        <v>1580</v>
      </c>
    </row>
    <row r="26" spans="1:15" ht="15">
      <c r="A26" s="292">
        <v>18</v>
      </c>
      <c r="B26" s="481" t="s">
        <v>929</v>
      </c>
      <c r="C26" s="9">
        <f>'Mode of cooking'!C27</f>
        <v>1397</v>
      </c>
      <c r="D26" s="9">
        <v>1028</v>
      </c>
      <c r="E26" s="9">
        <v>272</v>
      </c>
      <c r="F26" s="9">
        <v>97</v>
      </c>
      <c r="G26" s="9">
        <v>0</v>
      </c>
      <c r="H26" s="9">
        <v>0</v>
      </c>
      <c r="I26" s="9"/>
      <c r="J26" s="9">
        <v>1397</v>
      </c>
      <c r="K26" s="9">
        <v>1397</v>
      </c>
      <c r="L26" s="9">
        <v>1397</v>
      </c>
      <c r="M26" s="9">
        <v>1397</v>
      </c>
      <c r="N26" s="9">
        <v>1397</v>
      </c>
      <c r="O26" s="9">
        <v>1397</v>
      </c>
    </row>
    <row r="27" spans="1:15" ht="15">
      <c r="A27" s="292">
        <v>19</v>
      </c>
      <c r="B27" s="480" t="s">
        <v>930</v>
      </c>
      <c r="C27" s="9">
        <f>'Mode of cooking'!C28</f>
        <v>940</v>
      </c>
      <c r="D27" s="9">
        <v>702</v>
      </c>
      <c r="E27" s="9">
        <v>171</v>
      </c>
      <c r="F27" s="9">
        <v>67</v>
      </c>
      <c r="G27" s="9">
        <v>0</v>
      </c>
      <c r="H27" s="9">
        <v>0</v>
      </c>
      <c r="I27" s="9"/>
      <c r="J27" s="9">
        <v>940</v>
      </c>
      <c r="K27" s="9">
        <v>940</v>
      </c>
      <c r="L27" s="9">
        <v>940</v>
      </c>
      <c r="M27" s="9">
        <v>940</v>
      </c>
      <c r="N27" s="9">
        <v>940</v>
      </c>
      <c r="O27" s="9">
        <v>940</v>
      </c>
    </row>
    <row r="28" spans="1:15" ht="15">
      <c r="A28" s="292">
        <v>20</v>
      </c>
      <c r="B28" s="481" t="s">
        <v>931</v>
      </c>
      <c r="C28" s="9">
        <f>'Mode of cooking'!C29</f>
        <v>1081</v>
      </c>
      <c r="D28" s="9">
        <v>774</v>
      </c>
      <c r="E28" s="9">
        <v>234</v>
      </c>
      <c r="F28" s="9">
        <v>73</v>
      </c>
      <c r="G28" s="9">
        <v>0</v>
      </c>
      <c r="H28" s="9">
        <v>0</v>
      </c>
      <c r="I28" s="9"/>
      <c r="J28" s="9">
        <v>1081</v>
      </c>
      <c r="K28" s="9">
        <v>1081</v>
      </c>
      <c r="L28" s="9">
        <v>1081</v>
      </c>
      <c r="M28" s="9">
        <v>1081</v>
      </c>
      <c r="N28" s="9">
        <v>1081</v>
      </c>
      <c r="O28" s="9">
        <v>1081</v>
      </c>
    </row>
    <row r="29" spans="1:15" ht="15">
      <c r="A29" s="292">
        <v>21</v>
      </c>
      <c r="B29" s="480" t="s">
        <v>932</v>
      </c>
      <c r="C29" s="9">
        <f>'Mode of cooking'!C30</f>
        <v>1084</v>
      </c>
      <c r="D29" s="9">
        <v>834</v>
      </c>
      <c r="E29" s="9">
        <v>171</v>
      </c>
      <c r="F29" s="9">
        <v>79</v>
      </c>
      <c r="G29" s="9">
        <v>0</v>
      </c>
      <c r="H29" s="9">
        <v>0</v>
      </c>
      <c r="I29" s="9"/>
      <c r="J29" s="9">
        <v>1084</v>
      </c>
      <c r="K29" s="9">
        <v>1084</v>
      </c>
      <c r="L29" s="9">
        <v>1084</v>
      </c>
      <c r="M29" s="9">
        <v>1084</v>
      </c>
      <c r="N29" s="9">
        <v>1084</v>
      </c>
      <c r="O29" s="9">
        <v>1084</v>
      </c>
    </row>
    <row r="30" spans="1:15" ht="28.5">
      <c r="A30" s="292">
        <v>22</v>
      </c>
      <c r="B30" s="480" t="s">
        <v>933</v>
      </c>
      <c r="C30" s="9">
        <f>'Mode of cooking'!C31</f>
        <v>1260</v>
      </c>
      <c r="D30" s="9">
        <v>942</v>
      </c>
      <c r="E30" s="9">
        <v>229</v>
      </c>
      <c r="F30" s="9">
        <v>89</v>
      </c>
      <c r="G30" s="9">
        <v>0</v>
      </c>
      <c r="H30" s="9">
        <v>0</v>
      </c>
      <c r="I30" s="9"/>
      <c r="J30" s="9">
        <v>1260</v>
      </c>
      <c r="K30" s="9">
        <v>1260</v>
      </c>
      <c r="L30" s="9">
        <v>1260</v>
      </c>
      <c r="M30" s="9">
        <v>1260</v>
      </c>
      <c r="N30" s="9">
        <v>1260</v>
      </c>
      <c r="O30" s="9">
        <v>1260</v>
      </c>
    </row>
    <row r="31" spans="1:15" ht="15">
      <c r="A31" s="292">
        <v>23</v>
      </c>
      <c r="B31" s="480" t="s">
        <v>934</v>
      </c>
      <c r="C31" s="9">
        <f>'Mode of cooking'!C32</f>
        <v>1520</v>
      </c>
      <c r="D31" s="9">
        <v>1114</v>
      </c>
      <c r="E31" s="9">
        <v>301</v>
      </c>
      <c r="F31" s="9">
        <v>105</v>
      </c>
      <c r="G31" s="9">
        <v>0</v>
      </c>
      <c r="H31" s="9">
        <v>0</v>
      </c>
      <c r="I31" s="9"/>
      <c r="J31" s="9">
        <v>1520</v>
      </c>
      <c r="K31" s="9">
        <v>1520</v>
      </c>
      <c r="L31" s="9">
        <v>1520</v>
      </c>
      <c r="M31" s="9">
        <v>1520</v>
      </c>
      <c r="N31" s="9">
        <v>1520</v>
      </c>
      <c r="O31" s="9">
        <v>1520</v>
      </c>
    </row>
    <row r="32" spans="1:15" ht="15">
      <c r="A32" s="292">
        <v>24</v>
      </c>
      <c r="B32" s="480" t="s">
        <v>935</v>
      </c>
      <c r="C32" s="9">
        <f>'Mode of cooking'!C33</f>
        <v>852</v>
      </c>
      <c r="D32" s="9">
        <v>612</v>
      </c>
      <c r="E32" s="9">
        <v>182</v>
      </c>
      <c r="F32" s="9">
        <v>58</v>
      </c>
      <c r="G32" s="9">
        <v>0</v>
      </c>
      <c r="H32" s="9">
        <v>0</v>
      </c>
      <c r="I32" s="9"/>
      <c r="J32" s="9">
        <v>852</v>
      </c>
      <c r="K32" s="9">
        <v>852</v>
      </c>
      <c r="L32" s="9">
        <v>852</v>
      </c>
      <c r="M32" s="9">
        <v>852</v>
      </c>
      <c r="N32" s="9">
        <v>852</v>
      </c>
      <c r="O32" s="9">
        <v>852</v>
      </c>
    </row>
    <row r="33" spans="1:16" ht="15">
      <c r="A33" s="292">
        <v>25</v>
      </c>
      <c r="B33" s="480" t="s">
        <v>936</v>
      </c>
      <c r="C33" s="9">
        <f>'Mode of cooking'!C34</f>
        <v>1796</v>
      </c>
      <c r="D33" s="9">
        <v>1318</v>
      </c>
      <c r="E33" s="9">
        <v>353</v>
      </c>
      <c r="F33" s="9">
        <v>125</v>
      </c>
      <c r="G33" s="9">
        <v>0</v>
      </c>
      <c r="H33" s="9">
        <v>0</v>
      </c>
      <c r="I33" s="9"/>
      <c r="J33" s="9">
        <v>1796</v>
      </c>
      <c r="K33" s="9">
        <v>1796</v>
      </c>
      <c r="L33" s="9">
        <v>1796</v>
      </c>
      <c r="M33" s="9">
        <v>1796</v>
      </c>
      <c r="N33" s="9">
        <v>1796</v>
      </c>
      <c r="O33" s="9">
        <v>1796</v>
      </c>
    </row>
    <row r="34" spans="1:16" ht="15">
      <c r="A34" s="292">
        <v>26</v>
      </c>
      <c r="B34" s="480" t="s">
        <v>937</v>
      </c>
      <c r="C34" s="9">
        <f>'Mode of cooking'!C35</f>
        <v>2248</v>
      </c>
      <c r="D34" s="9">
        <v>1649</v>
      </c>
      <c r="E34" s="9">
        <v>443</v>
      </c>
      <c r="F34" s="9">
        <v>156</v>
      </c>
      <c r="G34" s="9">
        <v>0</v>
      </c>
      <c r="H34" s="9">
        <v>0</v>
      </c>
      <c r="I34" s="9"/>
      <c r="J34" s="9">
        <v>2248</v>
      </c>
      <c r="K34" s="9">
        <v>2248</v>
      </c>
      <c r="L34" s="9">
        <v>2248</v>
      </c>
      <c r="M34" s="9">
        <v>2248</v>
      </c>
      <c r="N34" s="9">
        <v>2248</v>
      </c>
      <c r="O34" s="9">
        <v>2248</v>
      </c>
    </row>
    <row r="35" spans="1:16" ht="15">
      <c r="A35" s="292">
        <v>27</v>
      </c>
      <c r="B35" s="480" t="s">
        <v>938</v>
      </c>
      <c r="C35" s="9">
        <f>'Mode of cooking'!C36</f>
        <v>1681</v>
      </c>
      <c r="D35" s="9">
        <v>1231</v>
      </c>
      <c r="E35" s="9">
        <v>334</v>
      </c>
      <c r="F35" s="9">
        <v>116</v>
      </c>
      <c r="G35" s="9">
        <v>0</v>
      </c>
      <c r="H35" s="9">
        <v>0</v>
      </c>
      <c r="I35" s="9"/>
      <c r="J35" s="9">
        <v>1681</v>
      </c>
      <c r="K35" s="9">
        <v>1681</v>
      </c>
      <c r="L35" s="9">
        <v>1681</v>
      </c>
      <c r="M35" s="9">
        <v>1681</v>
      </c>
      <c r="N35" s="9">
        <v>1681</v>
      </c>
      <c r="O35" s="9">
        <v>1681</v>
      </c>
    </row>
    <row r="36" spans="1:16" ht="15">
      <c r="A36" s="292">
        <v>28</v>
      </c>
      <c r="B36" s="480" t="s">
        <v>939</v>
      </c>
      <c r="C36" s="9">
        <f>'Mode of cooking'!C37</f>
        <v>2325</v>
      </c>
      <c r="D36" s="9">
        <v>1700</v>
      </c>
      <c r="E36" s="9">
        <v>464</v>
      </c>
      <c r="F36" s="9">
        <v>161</v>
      </c>
      <c r="G36" s="9">
        <v>0</v>
      </c>
      <c r="H36" s="9">
        <v>0</v>
      </c>
      <c r="I36" s="9"/>
      <c r="J36" s="9">
        <v>2325</v>
      </c>
      <c r="K36" s="9">
        <v>2325</v>
      </c>
      <c r="L36" s="9">
        <v>2325</v>
      </c>
      <c r="M36" s="9">
        <v>2325</v>
      </c>
      <c r="N36" s="9">
        <v>2325</v>
      </c>
      <c r="O36" s="9">
        <v>2325</v>
      </c>
    </row>
    <row r="37" spans="1:16" ht="15">
      <c r="A37" s="292">
        <v>29</v>
      </c>
      <c r="B37" s="480" t="s">
        <v>940</v>
      </c>
      <c r="C37" s="9">
        <f>'Mode of cooking'!C38</f>
        <v>1769</v>
      </c>
      <c r="D37" s="9">
        <v>1283</v>
      </c>
      <c r="E37" s="9">
        <v>364</v>
      </c>
      <c r="F37" s="9">
        <v>122</v>
      </c>
      <c r="G37" s="9">
        <v>0</v>
      </c>
      <c r="H37" s="9">
        <v>0</v>
      </c>
      <c r="I37" s="9"/>
      <c r="J37" s="9">
        <v>1769</v>
      </c>
      <c r="K37" s="9">
        <v>1769</v>
      </c>
      <c r="L37" s="9">
        <v>1769</v>
      </c>
      <c r="M37" s="9">
        <v>1769</v>
      </c>
      <c r="N37" s="9">
        <v>1769</v>
      </c>
      <c r="O37" s="9">
        <v>1769</v>
      </c>
    </row>
    <row r="38" spans="1:16" ht="15">
      <c r="A38" s="292">
        <v>30</v>
      </c>
      <c r="B38" s="480" t="s">
        <v>941</v>
      </c>
      <c r="C38" s="9">
        <f>'Mode of cooking'!C39</f>
        <v>1996</v>
      </c>
      <c r="D38" s="9">
        <v>1450</v>
      </c>
      <c r="E38" s="9">
        <v>409</v>
      </c>
      <c r="F38" s="9">
        <v>137</v>
      </c>
      <c r="G38" s="9">
        <v>0</v>
      </c>
      <c r="H38" s="9">
        <v>0</v>
      </c>
      <c r="I38" s="9"/>
      <c r="J38" s="9">
        <v>1996</v>
      </c>
      <c r="K38" s="9">
        <v>1996</v>
      </c>
      <c r="L38" s="9">
        <v>1996</v>
      </c>
      <c r="M38" s="9">
        <v>1996</v>
      </c>
      <c r="N38" s="9">
        <v>1996</v>
      </c>
      <c r="O38" s="9">
        <v>1996</v>
      </c>
    </row>
    <row r="39" spans="1:16" ht="15">
      <c r="A39" s="292">
        <v>31</v>
      </c>
      <c r="B39" s="480" t="s">
        <v>942</v>
      </c>
      <c r="C39" s="9">
        <f>'Mode of cooking'!C40</f>
        <v>2359</v>
      </c>
      <c r="D39" s="9">
        <v>1753</v>
      </c>
      <c r="E39" s="9">
        <v>440</v>
      </c>
      <c r="F39" s="9">
        <v>166</v>
      </c>
      <c r="G39" s="9">
        <v>0</v>
      </c>
      <c r="H39" s="9">
        <v>0</v>
      </c>
      <c r="I39" s="9"/>
      <c r="J39" s="9">
        <v>2359</v>
      </c>
      <c r="K39" s="9">
        <v>2359</v>
      </c>
      <c r="L39" s="9">
        <v>2359</v>
      </c>
      <c r="M39" s="9">
        <v>2359</v>
      </c>
      <c r="N39" s="9">
        <v>2359</v>
      </c>
      <c r="O39" s="9">
        <v>2359</v>
      </c>
      <c r="P39" s="15" t="s">
        <v>401</v>
      </c>
    </row>
    <row r="40" spans="1:16" ht="15">
      <c r="A40" s="292">
        <v>32</v>
      </c>
      <c r="B40" s="480" t="s">
        <v>943</v>
      </c>
      <c r="C40" s="9">
        <f>'Mode of cooking'!C41</f>
        <v>1156</v>
      </c>
      <c r="D40" s="9">
        <v>858</v>
      </c>
      <c r="E40" s="9">
        <v>217</v>
      </c>
      <c r="F40" s="9">
        <v>81</v>
      </c>
      <c r="G40" s="9">
        <v>0</v>
      </c>
      <c r="H40" s="9">
        <v>0</v>
      </c>
      <c r="I40" s="9"/>
      <c r="J40" s="9">
        <v>1156</v>
      </c>
      <c r="K40" s="9">
        <v>1156</v>
      </c>
      <c r="L40" s="9">
        <v>1156</v>
      </c>
      <c r="M40" s="9">
        <v>1156</v>
      </c>
      <c r="N40" s="9">
        <v>1156</v>
      </c>
      <c r="O40" s="9">
        <v>1156</v>
      </c>
    </row>
    <row r="41" spans="1:16" ht="15">
      <c r="A41" s="292">
        <v>33</v>
      </c>
      <c r="B41" s="480" t="s">
        <v>944</v>
      </c>
      <c r="C41" s="9">
        <f>'Mode of cooking'!C42</f>
        <v>1719</v>
      </c>
      <c r="D41" s="9">
        <v>1267</v>
      </c>
      <c r="E41" s="9">
        <v>332</v>
      </c>
      <c r="F41" s="9">
        <v>120</v>
      </c>
      <c r="G41" s="9">
        <v>0</v>
      </c>
      <c r="H41" s="9">
        <v>0</v>
      </c>
      <c r="I41" s="9"/>
      <c r="J41" s="9">
        <v>1719</v>
      </c>
      <c r="K41" s="9">
        <v>1719</v>
      </c>
      <c r="L41" s="9">
        <v>1719</v>
      </c>
      <c r="M41" s="9">
        <v>1719</v>
      </c>
      <c r="N41" s="9">
        <v>1719</v>
      </c>
      <c r="O41" s="9">
        <v>1719</v>
      </c>
    </row>
    <row r="42" spans="1:16" ht="15">
      <c r="A42" s="292">
        <v>34</v>
      </c>
      <c r="B42" s="480" t="s">
        <v>945</v>
      </c>
      <c r="C42" s="9">
        <f>'Mode of cooking'!C43</f>
        <v>1101</v>
      </c>
      <c r="D42" s="9">
        <v>815</v>
      </c>
      <c r="E42" s="9">
        <v>209</v>
      </c>
      <c r="F42" s="9">
        <v>77</v>
      </c>
      <c r="G42" s="9">
        <v>0</v>
      </c>
      <c r="H42" s="9">
        <v>0</v>
      </c>
      <c r="I42" s="9"/>
      <c r="J42" s="9">
        <v>1101</v>
      </c>
      <c r="K42" s="9">
        <v>1101</v>
      </c>
      <c r="L42" s="9">
        <v>1101</v>
      </c>
      <c r="M42" s="9">
        <v>1101</v>
      </c>
      <c r="N42" s="9">
        <v>1101</v>
      </c>
      <c r="O42" s="9">
        <v>1101</v>
      </c>
    </row>
    <row r="43" spans="1:16">
      <c r="A43" s="27" t="s">
        <v>17</v>
      </c>
      <c r="B43" s="9"/>
      <c r="C43" s="27">
        <f>SUM(C9:C42)</f>
        <v>54361</v>
      </c>
      <c r="D43" s="27">
        <f t="shared" ref="D43:F43" si="0">SUM(D9:D42)</f>
        <v>40379</v>
      </c>
      <c r="E43" s="27">
        <f t="shared" si="0"/>
        <v>10159</v>
      </c>
      <c r="F43" s="27">
        <f t="shared" si="0"/>
        <v>3823</v>
      </c>
      <c r="G43" s="9">
        <v>0</v>
      </c>
      <c r="H43" s="9">
        <v>0</v>
      </c>
      <c r="I43" s="27"/>
      <c r="J43" s="399">
        <f t="shared" ref="J43:O43" si="1">SUM(J9:J42)</f>
        <v>54361</v>
      </c>
      <c r="K43" s="399">
        <f t="shared" si="1"/>
        <v>54361</v>
      </c>
      <c r="L43" s="27">
        <f t="shared" si="1"/>
        <v>54361</v>
      </c>
      <c r="M43" s="27">
        <f t="shared" si="1"/>
        <v>54361</v>
      </c>
      <c r="N43" s="27">
        <f t="shared" si="1"/>
        <v>54361</v>
      </c>
      <c r="O43" s="27">
        <f t="shared" si="1"/>
        <v>54361</v>
      </c>
    </row>
    <row r="46" spans="1:16" ht="15.75">
      <c r="C46" s="1018"/>
      <c r="D46" s="1018"/>
      <c r="E46" s="1018"/>
      <c r="F46" s="1018"/>
      <c r="J46"/>
      <c r="K46"/>
    </row>
    <row r="47" spans="1:16" ht="12.75" customHeight="1">
      <c r="A47" s="803" t="s">
        <v>906</v>
      </c>
      <c r="B47" s="803"/>
      <c r="C47" s="803"/>
      <c r="D47" s="367"/>
      <c r="E47" s="367"/>
      <c r="F47" s="367"/>
      <c r="G47" s="367"/>
      <c r="L47" s="804" t="s">
        <v>12</v>
      </c>
      <c r="M47" s="804"/>
      <c r="N47" s="804"/>
      <c r="O47" s="804"/>
    </row>
    <row r="48" spans="1:16" ht="12.75" customHeight="1">
      <c r="A48" s="804" t="s">
        <v>907</v>
      </c>
      <c r="B48" s="804"/>
      <c r="C48" s="804"/>
      <c r="D48" s="367"/>
      <c r="E48" s="367"/>
      <c r="F48" s="367"/>
      <c r="G48" s="367"/>
      <c r="L48" s="804" t="s">
        <v>13</v>
      </c>
      <c r="M48" s="804"/>
      <c r="N48" s="804"/>
      <c r="O48" s="804"/>
    </row>
    <row r="49" spans="1:15" ht="12.75" customHeight="1">
      <c r="A49" s="804" t="s">
        <v>908</v>
      </c>
      <c r="B49" s="804"/>
      <c r="C49" s="804"/>
      <c r="D49" s="367"/>
      <c r="E49" s="367"/>
      <c r="F49" s="367"/>
      <c r="G49" s="367"/>
      <c r="L49" s="804" t="s">
        <v>18</v>
      </c>
      <c r="M49" s="804"/>
      <c r="N49" s="804"/>
      <c r="O49" s="804"/>
    </row>
    <row r="50" spans="1:15">
      <c r="A50" s="14" t="s">
        <v>21</v>
      </c>
      <c r="B50" s="14"/>
      <c r="C50" s="14"/>
      <c r="D50" s="14"/>
      <c r="E50" s="14"/>
      <c r="F50" s="14"/>
      <c r="G50" s="495"/>
      <c r="L50" s="803" t="s">
        <v>22</v>
      </c>
      <c r="M50" s="803"/>
      <c r="N50" s="495"/>
    </row>
    <row r="51" spans="1:15">
      <c r="A51" s="14"/>
      <c r="B51" s="495"/>
      <c r="C51" s="495"/>
      <c r="D51" s="495"/>
      <c r="E51" s="495"/>
      <c r="F51" s="495"/>
      <c r="G51" s="495"/>
      <c r="H51" s="495"/>
      <c r="I51" s="595"/>
      <c r="J51" s="495"/>
      <c r="K51" s="495"/>
      <c r="L51" s="495"/>
    </row>
    <row r="52" spans="1:15">
      <c r="J52"/>
      <c r="K52"/>
    </row>
  </sheetData>
  <mergeCells count="19">
    <mergeCell ref="A48:C48"/>
    <mergeCell ref="A49:C49"/>
    <mergeCell ref="L50:M50"/>
    <mergeCell ref="L49:O49"/>
    <mergeCell ref="L48:O48"/>
    <mergeCell ref="C46:F46"/>
    <mergeCell ref="A47:C47"/>
    <mergeCell ref="D6:H6"/>
    <mergeCell ref="C6:C7"/>
    <mergeCell ref="A1:L1"/>
    <mergeCell ref="A2:L2"/>
    <mergeCell ref="A4:H4"/>
    <mergeCell ref="A6:A7"/>
    <mergeCell ref="B6:B7"/>
    <mergeCell ref="L6:O6"/>
    <mergeCell ref="M5:O5"/>
    <mergeCell ref="J6:J7"/>
    <mergeCell ref="K6:K7"/>
    <mergeCell ref="L47:O47"/>
  </mergeCells>
  <printOptions horizontalCentered="1"/>
  <pageMargins left="0.70866141732283472" right="0.70866141732283472" top="0.23622047244094491" bottom="0" header="0.31496062992125984" footer="0.31496062992125984"/>
  <pageSetup paperSize="9" scale="73" orientation="landscape" r:id="rId1"/>
</worksheet>
</file>

<file path=xl/worksheets/sheet42.xml><?xml version="1.0" encoding="utf-8"?>
<worksheet xmlns="http://schemas.openxmlformats.org/spreadsheetml/2006/main" xmlns:r="http://schemas.openxmlformats.org/officeDocument/2006/relationships">
  <sheetPr codeName="Sheet42">
    <pageSetUpPr fitToPage="1"/>
  </sheetPr>
  <dimension ref="A1:H49"/>
  <sheetViews>
    <sheetView view="pageBreakPreview" topLeftCell="A34" zoomScale="120" zoomScaleSheetLayoutView="120" workbookViewId="0">
      <selection activeCell="A46" sqref="A46:C48"/>
    </sheetView>
  </sheetViews>
  <sheetFormatPr defaultRowHeight="12.75"/>
  <cols>
    <col min="1" max="1" width="8.28515625" customWidth="1"/>
    <col min="2" max="2" width="23.5703125" customWidth="1"/>
    <col min="3" max="3" width="16.7109375" customWidth="1"/>
    <col min="4" max="4" width="12.5703125" customWidth="1"/>
    <col min="5" max="5" width="13" customWidth="1"/>
    <col min="6" max="6" width="14.7109375" customWidth="1"/>
    <col min="7" max="7" width="13.5703125" customWidth="1"/>
    <col min="8" max="8" width="15.5703125" customWidth="1"/>
  </cols>
  <sheetData>
    <row r="1" spans="1:8" ht="18">
      <c r="A1" s="911" t="s">
        <v>0</v>
      </c>
      <c r="B1" s="911"/>
      <c r="C1" s="911"/>
      <c r="D1" s="911"/>
      <c r="E1" s="911"/>
      <c r="F1" s="911"/>
      <c r="G1" s="911"/>
      <c r="H1" s="237" t="s">
        <v>521</v>
      </c>
    </row>
    <row r="2" spans="1:8" ht="21">
      <c r="A2" s="912" t="s">
        <v>745</v>
      </c>
      <c r="B2" s="912"/>
      <c r="C2" s="912"/>
      <c r="D2" s="912"/>
      <c r="E2" s="912"/>
      <c r="F2" s="912"/>
      <c r="G2" s="912"/>
    </row>
    <row r="3" spans="1:8" ht="15">
      <c r="A3" s="197"/>
      <c r="B3" s="197"/>
      <c r="C3" s="197"/>
      <c r="D3" s="197"/>
      <c r="E3" s="197"/>
      <c r="F3" s="197"/>
      <c r="G3" s="197"/>
    </row>
    <row r="4" spans="1:8" ht="18">
      <c r="A4" s="911" t="s">
        <v>520</v>
      </c>
      <c r="B4" s="911"/>
      <c r="C4" s="911"/>
      <c r="D4" s="911"/>
      <c r="E4" s="911"/>
      <c r="F4" s="911"/>
      <c r="G4" s="911"/>
    </row>
    <row r="5" spans="1:8" ht="15">
      <c r="A5" s="198" t="s">
        <v>253</v>
      </c>
      <c r="B5" s="198"/>
      <c r="C5" s="198"/>
      <c r="D5" s="198"/>
      <c r="E5" s="198"/>
      <c r="F5" s="198"/>
      <c r="G5" s="984" t="s">
        <v>831</v>
      </c>
      <c r="H5" s="984"/>
    </row>
    <row r="6" spans="1:8" ht="21.75" customHeight="1">
      <c r="A6" s="986" t="s">
        <v>2</v>
      </c>
      <c r="B6" s="986" t="s">
        <v>500</v>
      </c>
      <c r="C6" s="834" t="s">
        <v>37</v>
      </c>
      <c r="D6" s="834" t="s">
        <v>505</v>
      </c>
      <c r="E6" s="834"/>
      <c r="F6" s="822" t="s">
        <v>506</v>
      </c>
      <c r="G6" s="822"/>
      <c r="H6" s="986" t="s">
        <v>225</v>
      </c>
    </row>
    <row r="7" spans="1:8" ht="25.5" customHeight="1">
      <c r="A7" s="987"/>
      <c r="B7" s="987"/>
      <c r="C7" s="834"/>
      <c r="D7" s="5" t="s">
        <v>501</v>
      </c>
      <c r="E7" s="5" t="s">
        <v>502</v>
      </c>
      <c r="F7" s="67" t="s">
        <v>503</v>
      </c>
      <c r="G7" s="5" t="s">
        <v>504</v>
      </c>
      <c r="H7" s="987"/>
    </row>
    <row r="8" spans="1:8" ht="15">
      <c r="A8" s="201" t="s">
        <v>260</v>
      </c>
      <c r="B8" s="201" t="s">
        <v>261</v>
      </c>
      <c r="C8" s="201" t="s">
        <v>262</v>
      </c>
      <c r="D8" s="201" t="s">
        <v>263</v>
      </c>
      <c r="E8" s="201" t="s">
        <v>264</v>
      </c>
      <c r="F8" s="201" t="s">
        <v>265</v>
      </c>
      <c r="G8" s="201" t="s">
        <v>266</v>
      </c>
      <c r="H8" s="201">
        <v>8</v>
      </c>
    </row>
    <row r="9" spans="1:8" ht="15">
      <c r="A9" s="467">
        <v>1</v>
      </c>
      <c r="B9" s="1028" t="s">
        <v>1065</v>
      </c>
      <c r="C9" s="608" t="s">
        <v>1066</v>
      </c>
      <c r="D9" s="1030">
        <v>22</v>
      </c>
      <c r="E9" s="1030">
        <v>22</v>
      </c>
      <c r="F9" s="1030">
        <v>22</v>
      </c>
      <c r="G9" s="1030">
        <v>0</v>
      </c>
      <c r="H9" s="1028" t="s">
        <v>1067</v>
      </c>
    </row>
    <row r="10" spans="1:8" ht="15">
      <c r="A10" s="467">
        <v>2</v>
      </c>
      <c r="B10" s="1029"/>
      <c r="C10" s="608" t="s">
        <v>913</v>
      </c>
      <c r="D10" s="1031"/>
      <c r="E10" s="1031"/>
      <c r="F10" s="1031"/>
      <c r="G10" s="1031"/>
      <c r="H10" s="1029"/>
    </row>
    <row r="11" spans="1:8" ht="15">
      <c r="A11" s="467">
        <v>3</v>
      </c>
      <c r="B11" s="606"/>
      <c r="C11" s="614" t="s">
        <v>914</v>
      </c>
      <c r="D11" s="616">
        <v>0</v>
      </c>
      <c r="E11" s="616">
        <v>0</v>
      </c>
      <c r="F11" s="616">
        <v>0</v>
      </c>
      <c r="G11" s="616">
        <v>0</v>
      </c>
      <c r="H11" s="616">
        <v>0</v>
      </c>
    </row>
    <row r="12" spans="1:8" ht="15">
      <c r="A12" s="467">
        <v>4</v>
      </c>
      <c r="B12" s="606"/>
      <c r="C12" s="614" t="s">
        <v>915</v>
      </c>
      <c r="D12" s="616">
        <v>0</v>
      </c>
      <c r="E12" s="616">
        <v>0</v>
      </c>
      <c r="F12" s="616">
        <v>0</v>
      </c>
      <c r="G12" s="616">
        <v>0</v>
      </c>
      <c r="H12" s="616">
        <v>0</v>
      </c>
    </row>
    <row r="13" spans="1:8" ht="15">
      <c r="A13" s="467">
        <v>5</v>
      </c>
      <c r="B13" s="606"/>
      <c r="C13" s="614" t="s">
        <v>916</v>
      </c>
      <c r="D13" s="616">
        <v>0</v>
      </c>
      <c r="E13" s="616">
        <v>0</v>
      </c>
      <c r="F13" s="616">
        <v>0</v>
      </c>
      <c r="G13" s="616">
        <v>0</v>
      </c>
      <c r="H13" s="616">
        <v>0</v>
      </c>
    </row>
    <row r="14" spans="1:8" ht="25.5">
      <c r="A14" s="467">
        <v>6</v>
      </c>
      <c r="B14" s="609" t="s">
        <v>1065</v>
      </c>
      <c r="C14" s="608" t="s">
        <v>917</v>
      </c>
      <c r="D14" s="617">
        <v>8</v>
      </c>
      <c r="E14" s="617">
        <v>8</v>
      </c>
      <c r="F14" s="617">
        <v>8</v>
      </c>
      <c r="G14" s="617">
        <v>0</v>
      </c>
      <c r="H14" s="611" t="s">
        <v>1068</v>
      </c>
    </row>
    <row r="15" spans="1:8" ht="15">
      <c r="A15" s="467">
        <v>7</v>
      </c>
      <c r="B15" s="606"/>
      <c r="C15" s="614" t="s">
        <v>918</v>
      </c>
      <c r="D15" s="616">
        <v>0</v>
      </c>
      <c r="E15" s="616">
        <v>0</v>
      </c>
      <c r="F15" s="616">
        <v>0</v>
      </c>
      <c r="G15" s="616">
        <v>0</v>
      </c>
      <c r="H15" s="616">
        <v>0</v>
      </c>
    </row>
    <row r="16" spans="1:8" ht="15">
      <c r="A16" s="467">
        <v>8</v>
      </c>
      <c r="B16" s="606"/>
      <c r="C16" s="614" t="s">
        <v>919</v>
      </c>
      <c r="D16" s="616">
        <v>0</v>
      </c>
      <c r="E16" s="616">
        <v>0</v>
      </c>
      <c r="F16" s="616">
        <v>0</v>
      </c>
      <c r="G16" s="616">
        <v>0</v>
      </c>
      <c r="H16" s="616">
        <v>0</v>
      </c>
    </row>
    <row r="17" spans="1:8" ht="15">
      <c r="A17" s="467">
        <v>9</v>
      </c>
      <c r="B17" s="606"/>
      <c r="C17" s="614" t="s">
        <v>920</v>
      </c>
      <c r="D17" s="616">
        <v>0</v>
      </c>
      <c r="E17" s="616">
        <v>0</v>
      </c>
      <c r="F17" s="616">
        <v>0</v>
      </c>
      <c r="G17" s="616">
        <v>0</v>
      </c>
      <c r="H17" s="616">
        <v>0</v>
      </c>
    </row>
    <row r="18" spans="1:8" ht="15">
      <c r="A18" s="467">
        <v>10</v>
      </c>
      <c r="B18" s="606"/>
      <c r="C18" s="614" t="s">
        <v>921</v>
      </c>
      <c r="D18" s="616">
        <v>0</v>
      </c>
      <c r="E18" s="616">
        <v>0</v>
      </c>
      <c r="F18" s="616">
        <v>0</v>
      </c>
      <c r="G18" s="616">
        <v>0</v>
      </c>
      <c r="H18" s="616">
        <v>0</v>
      </c>
    </row>
    <row r="19" spans="1:8" ht="25.5">
      <c r="A19" s="467">
        <v>11</v>
      </c>
      <c r="B19" s="606"/>
      <c r="C19" s="614" t="s">
        <v>922</v>
      </c>
      <c r="D19" s="616">
        <v>0</v>
      </c>
      <c r="E19" s="616">
        <v>0</v>
      </c>
      <c r="F19" s="616">
        <v>0</v>
      </c>
      <c r="G19" s="616">
        <v>0</v>
      </c>
      <c r="H19" s="616">
        <v>0</v>
      </c>
    </row>
    <row r="20" spans="1:8" ht="38.25">
      <c r="A20" s="467">
        <v>12</v>
      </c>
      <c r="B20" s="609" t="s">
        <v>1069</v>
      </c>
      <c r="C20" s="612" t="s">
        <v>923</v>
      </c>
      <c r="D20" s="617">
        <v>9</v>
      </c>
      <c r="E20" s="617">
        <v>9</v>
      </c>
      <c r="F20" s="617">
        <v>9</v>
      </c>
      <c r="G20" s="617">
        <v>0</v>
      </c>
      <c r="H20" s="611" t="s">
        <v>1068</v>
      </c>
    </row>
    <row r="21" spans="1:8" ht="15">
      <c r="A21" s="467">
        <v>13</v>
      </c>
      <c r="B21" s="606"/>
      <c r="C21" s="614" t="s">
        <v>924</v>
      </c>
      <c r="D21" s="616">
        <v>0</v>
      </c>
      <c r="E21" s="616">
        <v>0</v>
      </c>
      <c r="F21" s="616">
        <v>0</v>
      </c>
      <c r="G21" s="616">
        <v>0</v>
      </c>
      <c r="H21" s="616">
        <v>0</v>
      </c>
    </row>
    <row r="22" spans="1:8" ht="15">
      <c r="A22" s="467">
        <v>14</v>
      </c>
      <c r="B22" s="606"/>
      <c r="C22" s="614" t="s">
        <v>925</v>
      </c>
      <c r="D22" s="616">
        <v>0</v>
      </c>
      <c r="E22" s="616">
        <v>0</v>
      </c>
      <c r="F22" s="616">
        <v>0</v>
      </c>
      <c r="G22" s="616">
        <v>0</v>
      </c>
      <c r="H22" s="616">
        <v>0</v>
      </c>
    </row>
    <row r="23" spans="1:8" ht="15">
      <c r="A23" s="467">
        <v>15</v>
      </c>
      <c r="B23" s="606"/>
      <c r="C23" s="614" t="s">
        <v>926</v>
      </c>
      <c r="D23" s="616">
        <v>0</v>
      </c>
      <c r="E23" s="616">
        <v>0</v>
      </c>
      <c r="F23" s="616">
        <v>0</v>
      </c>
      <c r="G23" s="616">
        <v>0</v>
      </c>
      <c r="H23" s="616">
        <v>0</v>
      </c>
    </row>
    <row r="24" spans="1:8" ht="15">
      <c r="A24" s="467">
        <v>16</v>
      </c>
      <c r="B24" s="606"/>
      <c r="C24" s="614" t="s">
        <v>927</v>
      </c>
      <c r="D24" s="616">
        <v>0</v>
      </c>
      <c r="E24" s="616">
        <v>0</v>
      </c>
      <c r="F24" s="616">
        <v>0</v>
      </c>
      <c r="G24" s="616">
        <v>0</v>
      </c>
      <c r="H24" s="616">
        <v>0</v>
      </c>
    </row>
    <row r="25" spans="1:8" ht="15">
      <c r="A25" s="467">
        <v>17</v>
      </c>
      <c r="B25" s="606"/>
      <c r="C25" s="614" t="s">
        <v>928</v>
      </c>
      <c r="D25" s="616">
        <v>0</v>
      </c>
      <c r="E25" s="616">
        <v>0</v>
      </c>
      <c r="F25" s="616">
        <v>0</v>
      </c>
      <c r="G25" s="616">
        <v>0</v>
      </c>
      <c r="H25" s="616">
        <v>0</v>
      </c>
    </row>
    <row r="26" spans="1:8" ht="15">
      <c r="A26" s="470">
        <v>18</v>
      </c>
      <c r="B26" s="607"/>
      <c r="C26" s="614" t="s">
        <v>929</v>
      </c>
      <c r="D26" s="616">
        <v>0</v>
      </c>
      <c r="E26" s="616">
        <v>0</v>
      </c>
      <c r="F26" s="616">
        <v>0</v>
      </c>
      <c r="G26" s="616">
        <v>0</v>
      </c>
      <c r="H26" s="616">
        <v>0</v>
      </c>
    </row>
    <row r="27" spans="1:8" ht="15">
      <c r="A27" s="467">
        <v>19</v>
      </c>
      <c r="B27" s="606"/>
      <c r="C27" s="614" t="s">
        <v>930</v>
      </c>
      <c r="D27" s="616">
        <v>0</v>
      </c>
      <c r="E27" s="616">
        <v>0</v>
      </c>
      <c r="F27" s="616">
        <v>0</v>
      </c>
      <c r="G27" s="616">
        <v>0</v>
      </c>
      <c r="H27" s="616">
        <v>0</v>
      </c>
    </row>
    <row r="28" spans="1:8" ht="76.5">
      <c r="A28" s="470">
        <v>20</v>
      </c>
      <c r="B28" s="613" t="s">
        <v>1070</v>
      </c>
      <c r="C28" s="608" t="s">
        <v>931</v>
      </c>
      <c r="D28" s="617">
        <v>8</v>
      </c>
      <c r="E28" s="617">
        <v>8</v>
      </c>
      <c r="F28" s="617">
        <v>8</v>
      </c>
      <c r="G28" s="617">
        <v>0</v>
      </c>
      <c r="H28" s="610" t="s">
        <v>1071</v>
      </c>
    </row>
    <row r="29" spans="1:8" ht="15">
      <c r="A29" s="467">
        <v>21</v>
      </c>
      <c r="B29" s="606"/>
      <c r="C29" s="614" t="s">
        <v>932</v>
      </c>
      <c r="D29" s="616">
        <v>0</v>
      </c>
      <c r="E29" s="616">
        <v>0</v>
      </c>
      <c r="F29" s="616">
        <v>0</v>
      </c>
      <c r="G29" s="616">
        <v>0</v>
      </c>
      <c r="H29" s="616">
        <v>0</v>
      </c>
    </row>
    <row r="30" spans="1:8" ht="51">
      <c r="A30" s="467">
        <v>22</v>
      </c>
      <c r="B30" s="613" t="s">
        <v>1072</v>
      </c>
      <c r="C30" s="612" t="s">
        <v>933</v>
      </c>
      <c r="D30" s="617">
        <v>10</v>
      </c>
      <c r="E30" s="617">
        <v>10</v>
      </c>
      <c r="F30" s="617">
        <v>10</v>
      </c>
      <c r="G30" s="617">
        <v>0</v>
      </c>
      <c r="H30" s="610" t="s">
        <v>1068</v>
      </c>
    </row>
    <row r="31" spans="1:8" ht="15">
      <c r="A31" s="467">
        <v>23</v>
      </c>
      <c r="B31" s="606"/>
      <c r="C31" s="614" t="s">
        <v>934</v>
      </c>
      <c r="D31" s="616">
        <v>0</v>
      </c>
      <c r="E31" s="616">
        <v>0</v>
      </c>
      <c r="F31" s="616">
        <v>0</v>
      </c>
      <c r="G31" s="616">
        <v>0</v>
      </c>
      <c r="H31" s="616">
        <v>0</v>
      </c>
    </row>
    <row r="32" spans="1:8" ht="15">
      <c r="A32" s="467">
        <v>24</v>
      </c>
      <c r="B32" s="606"/>
      <c r="C32" s="614" t="s">
        <v>935</v>
      </c>
      <c r="D32" s="616">
        <v>0</v>
      </c>
      <c r="E32" s="616">
        <v>0</v>
      </c>
      <c r="F32" s="616">
        <v>0</v>
      </c>
      <c r="G32" s="616">
        <v>0</v>
      </c>
      <c r="H32" s="616">
        <v>0</v>
      </c>
    </row>
    <row r="33" spans="1:8" ht="15">
      <c r="A33" s="467">
        <v>25</v>
      </c>
      <c r="B33" s="606"/>
      <c r="C33" s="614" t="s">
        <v>936</v>
      </c>
      <c r="D33" s="616">
        <v>0</v>
      </c>
      <c r="E33" s="616">
        <v>0</v>
      </c>
      <c r="F33" s="616">
        <v>0</v>
      </c>
      <c r="G33" s="616">
        <v>0</v>
      </c>
      <c r="H33" s="616">
        <v>0</v>
      </c>
    </row>
    <row r="34" spans="1:8" ht="15">
      <c r="A34" s="467">
        <v>26</v>
      </c>
      <c r="B34" s="606"/>
      <c r="C34" s="614" t="s">
        <v>937</v>
      </c>
      <c r="D34" s="616">
        <v>0</v>
      </c>
      <c r="E34" s="616">
        <v>0</v>
      </c>
      <c r="F34" s="616">
        <v>0</v>
      </c>
      <c r="G34" s="616">
        <v>0</v>
      </c>
      <c r="H34" s="616">
        <v>0</v>
      </c>
    </row>
    <row r="35" spans="1:8" ht="15">
      <c r="A35" s="467">
        <v>27</v>
      </c>
      <c r="B35" s="606"/>
      <c r="C35" s="614" t="s">
        <v>938</v>
      </c>
      <c r="D35" s="616">
        <v>0</v>
      </c>
      <c r="E35" s="616">
        <v>0</v>
      </c>
      <c r="F35" s="616">
        <v>0</v>
      </c>
      <c r="G35" s="616">
        <v>0</v>
      </c>
      <c r="H35" s="616">
        <v>0</v>
      </c>
    </row>
    <row r="36" spans="1:8" ht="38.25">
      <c r="A36" s="467">
        <v>28</v>
      </c>
      <c r="B36" s="609" t="s">
        <v>1073</v>
      </c>
      <c r="C36" s="608" t="s">
        <v>939</v>
      </c>
      <c r="D36" s="617">
        <v>4</v>
      </c>
      <c r="E36" s="617">
        <v>3</v>
      </c>
      <c r="F36" s="617">
        <v>1</v>
      </c>
      <c r="G36" s="617">
        <v>0</v>
      </c>
      <c r="H36" s="614" t="s">
        <v>1074</v>
      </c>
    </row>
    <row r="37" spans="1:8" ht="15">
      <c r="A37" s="467">
        <v>29</v>
      </c>
      <c r="B37" s="606"/>
      <c r="C37" s="614" t="s">
        <v>940</v>
      </c>
      <c r="D37" s="616">
        <v>0</v>
      </c>
      <c r="E37" s="616">
        <v>0</v>
      </c>
      <c r="F37" s="616">
        <v>0</v>
      </c>
      <c r="G37" s="616">
        <v>0</v>
      </c>
      <c r="H37" s="616">
        <v>0</v>
      </c>
    </row>
    <row r="38" spans="1:8" ht="15">
      <c r="A38" s="467">
        <v>30</v>
      </c>
      <c r="B38" s="606"/>
      <c r="C38" s="614" t="s">
        <v>941</v>
      </c>
      <c r="D38" s="616">
        <v>0</v>
      </c>
      <c r="E38" s="616">
        <v>0</v>
      </c>
      <c r="F38" s="616">
        <v>0</v>
      </c>
      <c r="G38" s="616">
        <v>0</v>
      </c>
      <c r="H38" s="616">
        <v>0</v>
      </c>
    </row>
    <row r="39" spans="1:8" ht="15">
      <c r="A39" s="467">
        <v>31</v>
      </c>
      <c r="B39" s="606"/>
      <c r="C39" s="614" t="s">
        <v>942</v>
      </c>
      <c r="D39" s="616">
        <v>0</v>
      </c>
      <c r="E39" s="616">
        <v>0</v>
      </c>
      <c r="F39" s="616">
        <v>0</v>
      </c>
      <c r="G39" s="616">
        <v>0</v>
      </c>
      <c r="H39" s="616">
        <v>0</v>
      </c>
    </row>
    <row r="40" spans="1:8" ht="15">
      <c r="A40" s="467">
        <v>32</v>
      </c>
      <c r="B40" s="606"/>
      <c r="C40" s="614" t="s">
        <v>943</v>
      </c>
      <c r="D40" s="616">
        <v>0</v>
      </c>
      <c r="E40" s="616">
        <v>0</v>
      </c>
      <c r="F40" s="616">
        <v>0</v>
      </c>
      <c r="G40" s="616">
        <v>0</v>
      </c>
      <c r="H40" s="616">
        <v>0</v>
      </c>
    </row>
    <row r="41" spans="1:8" ht="15">
      <c r="A41" s="467">
        <v>33</v>
      </c>
      <c r="B41" s="606"/>
      <c r="C41" s="614" t="s">
        <v>944</v>
      </c>
      <c r="D41" s="616">
        <v>0</v>
      </c>
      <c r="E41" s="616">
        <v>0</v>
      </c>
      <c r="F41" s="616">
        <v>0</v>
      </c>
      <c r="G41" s="616">
        <v>0</v>
      </c>
      <c r="H41" s="616">
        <v>0</v>
      </c>
    </row>
    <row r="42" spans="1:8" ht="25.5">
      <c r="A42" s="467">
        <v>34</v>
      </c>
      <c r="B42" s="609" t="s">
        <v>1075</v>
      </c>
      <c r="C42" s="615" t="s">
        <v>945</v>
      </c>
      <c r="D42" s="468">
        <v>6</v>
      </c>
      <c r="E42" s="468">
        <v>6</v>
      </c>
      <c r="F42" s="468">
        <v>6</v>
      </c>
      <c r="G42" s="617">
        <v>0</v>
      </c>
      <c r="H42" s="618" t="s">
        <v>1071</v>
      </c>
    </row>
    <row r="43" spans="1:8">
      <c r="A43" s="27" t="s">
        <v>17</v>
      </c>
      <c r="B43" s="9"/>
      <c r="C43" s="9"/>
      <c r="D43" s="471">
        <f>SUM(D9:D42)</f>
        <v>67</v>
      </c>
      <c r="E43" s="471">
        <f t="shared" ref="E43:G43" si="0">SUM(E9:E42)</f>
        <v>66</v>
      </c>
      <c r="F43" s="471">
        <f t="shared" si="0"/>
        <v>64</v>
      </c>
      <c r="G43" s="471">
        <f t="shared" si="0"/>
        <v>0</v>
      </c>
      <c r="H43" s="9"/>
    </row>
    <row r="46" spans="1:8" ht="12.75" customHeight="1">
      <c r="A46" s="803" t="s">
        <v>906</v>
      </c>
      <c r="B46" s="803"/>
      <c r="C46" s="803"/>
      <c r="D46" s="204"/>
      <c r="F46" s="901" t="s">
        <v>12</v>
      </c>
      <c r="G46" s="901"/>
      <c r="H46" s="901"/>
    </row>
    <row r="47" spans="1:8" ht="12.75" customHeight="1">
      <c r="A47" s="804" t="s">
        <v>907</v>
      </c>
      <c r="B47" s="804"/>
      <c r="C47" s="804"/>
      <c r="D47" s="204"/>
      <c r="F47" s="901" t="s">
        <v>13</v>
      </c>
      <c r="G47" s="901"/>
      <c r="H47" s="901"/>
    </row>
    <row r="48" spans="1:8" ht="12.75" customHeight="1">
      <c r="A48" s="804" t="s">
        <v>908</v>
      </c>
      <c r="B48" s="804"/>
      <c r="C48" s="804"/>
      <c r="D48" s="204"/>
      <c r="F48" s="901" t="s">
        <v>87</v>
      </c>
      <c r="G48" s="901"/>
      <c r="H48" s="901"/>
    </row>
    <row r="49" spans="1:7">
      <c r="A49" s="204" t="s">
        <v>11</v>
      </c>
      <c r="C49" s="204"/>
      <c r="D49" s="204"/>
      <c r="G49" s="206" t="s">
        <v>84</v>
      </c>
    </row>
  </sheetData>
  <mergeCells count="22">
    <mergeCell ref="A1:G1"/>
    <mergeCell ref="A2:G2"/>
    <mergeCell ref="A4:G4"/>
    <mergeCell ref="A6:A7"/>
    <mergeCell ref="B6:B7"/>
    <mergeCell ref="G5:H5"/>
    <mergeCell ref="C6:C7"/>
    <mergeCell ref="F6:G6"/>
    <mergeCell ref="D6:E6"/>
    <mergeCell ref="H6:H7"/>
    <mergeCell ref="F48:H48"/>
    <mergeCell ref="F46:H46"/>
    <mergeCell ref="F47:H47"/>
    <mergeCell ref="B9:B10"/>
    <mergeCell ref="D9:D10"/>
    <mergeCell ref="E9:E10"/>
    <mergeCell ref="F9:F10"/>
    <mergeCell ref="G9:G10"/>
    <mergeCell ref="H9:H10"/>
    <mergeCell ref="A46:C46"/>
    <mergeCell ref="A47:C47"/>
    <mergeCell ref="A48:C48"/>
  </mergeCells>
  <printOptions horizontalCentered="1"/>
  <pageMargins left="0.70866141732283472" right="0.70866141732283472" top="0.23622047244094491" bottom="0" header="0.31496062992125984" footer="0.31496062992125984"/>
  <pageSetup paperSize="9" scale="64" orientation="landscape" r:id="rId1"/>
</worksheet>
</file>

<file path=xl/worksheets/sheet43.xml><?xml version="1.0" encoding="utf-8"?>
<worksheet xmlns="http://schemas.openxmlformats.org/spreadsheetml/2006/main" xmlns:r="http://schemas.openxmlformats.org/officeDocument/2006/relationships">
  <sheetPr codeName="Sheet43">
    <pageSetUpPr fitToPage="1"/>
  </sheetPr>
  <dimension ref="A1:L49"/>
  <sheetViews>
    <sheetView view="pageBreakPreview" topLeftCell="A40" zoomScale="84" zoomScaleSheetLayoutView="84" workbookViewId="0">
      <selection activeCell="K46" sqref="J46:L49"/>
    </sheetView>
  </sheetViews>
  <sheetFormatPr defaultRowHeight="12.75"/>
  <cols>
    <col min="1" max="1" width="6.42578125" customWidth="1"/>
    <col min="2" max="2" width="26.42578125"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2" ht="18">
      <c r="A1" s="911" t="s">
        <v>0</v>
      </c>
      <c r="B1" s="911"/>
      <c r="C1" s="911"/>
      <c r="D1" s="911"/>
      <c r="E1" s="911"/>
      <c r="F1" s="911"/>
      <c r="G1" s="911"/>
      <c r="H1" s="911"/>
      <c r="I1" s="911"/>
      <c r="J1" s="911"/>
      <c r="K1" s="911"/>
      <c r="L1" s="237" t="s">
        <v>523</v>
      </c>
    </row>
    <row r="2" spans="1:12" ht="21">
      <c r="A2" s="912" t="s">
        <v>745</v>
      </c>
      <c r="B2" s="912"/>
      <c r="C2" s="912"/>
      <c r="D2" s="912"/>
      <c r="E2" s="912"/>
      <c r="F2" s="912"/>
      <c r="G2" s="912"/>
      <c r="H2" s="912"/>
      <c r="I2" s="912"/>
      <c r="J2" s="912"/>
      <c r="K2" s="912"/>
    </row>
    <row r="3" spans="1:12" ht="15">
      <c r="A3" s="197"/>
      <c r="B3" s="197"/>
      <c r="C3" s="197"/>
      <c r="D3" s="197"/>
      <c r="E3" s="197"/>
      <c r="F3" s="197"/>
      <c r="G3" s="197"/>
      <c r="H3" s="197"/>
      <c r="I3" s="197"/>
      <c r="J3" s="197"/>
      <c r="K3" s="197"/>
    </row>
    <row r="4" spans="1:12" ht="18">
      <c r="A4" s="911" t="s">
        <v>522</v>
      </c>
      <c r="B4" s="911"/>
      <c r="C4" s="911"/>
      <c r="D4" s="911"/>
      <c r="E4" s="911"/>
      <c r="F4" s="911"/>
      <c r="G4" s="911"/>
      <c r="H4" s="911"/>
      <c r="I4" s="911"/>
      <c r="J4" s="911"/>
      <c r="K4" s="911"/>
    </row>
    <row r="5" spans="1:12" ht="15">
      <c r="A5" s="198" t="s">
        <v>1185</v>
      </c>
      <c r="B5" s="198"/>
      <c r="C5" s="198"/>
      <c r="D5" s="198"/>
      <c r="E5" s="198"/>
      <c r="F5" s="198"/>
      <c r="G5" s="198"/>
      <c r="H5" s="198"/>
      <c r="I5" s="198"/>
      <c r="J5" s="985" t="s">
        <v>831</v>
      </c>
      <c r="K5" s="985"/>
      <c r="L5" s="985"/>
    </row>
    <row r="6" spans="1:12" ht="21.75" customHeight="1">
      <c r="A6" s="986" t="s">
        <v>2</v>
      </c>
      <c r="B6" s="986" t="s">
        <v>37</v>
      </c>
      <c r="C6" s="821" t="s">
        <v>465</v>
      </c>
      <c r="D6" s="822"/>
      <c r="E6" s="823"/>
      <c r="F6" s="821" t="s">
        <v>471</v>
      </c>
      <c r="G6" s="822"/>
      <c r="H6" s="822"/>
      <c r="I6" s="823"/>
      <c r="J6" s="834" t="s">
        <v>473</v>
      </c>
      <c r="K6" s="834"/>
      <c r="L6" s="834"/>
    </row>
    <row r="7" spans="1:12" ht="29.25" customHeight="1">
      <c r="A7" s="987"/>
      <c r="B7" s="987"/>
      <c r="C7" s="230" t="s">
        <v>215</v>
      </c>
      <c r="D7" s="230" t="s">
        <v>467</v>
      </c>
      <c r="E7" s="230" t="s">
        <v>472</v>
      </c>
      <c r="F7" s="230" t="s">
        <v>215</v>
      </c>
      <c r="G7" s="230" t="s">
        <v>466</v>
      </c>
      <c r="H7" s="230" t="s">
        <v>468</v>
      </c>
      <c r="I7" s="230" t="s">
        <v>472</v>
      </c>
      <c r="J7" s="5" t="s">
        <v>469</v>
      </c>
      <c r="K7" s="5" t="s">
        <v>470</v>
      </c>
      <c r="L7" s="230" t="s">
        <v>472</v>
      </c>
    </row>
    <row r="8" spans="1:12" ht="15">
      <c r="A8" s="201" t="s">
        <v>260</v>
      </c>
      <c r="B8" s="201" t="s">
        <v>261</v>
      </c>
      <c r="C8" s="201" t="s">
        <v>262</v>
      </c>
      <c r="D8" s="201" t="s">
        <v>263</v>
      </c>
      <c r="E8" s="201" t="s">
        <v>264</v>
      </c>
      <c r="F8" s="201" t="s">
        <v>265</v>
      </c>
      <c r="G8" s="201" t="s">
        <v>266</v>
      </c>
      <c r="H8" s="201" t="s">
        <v>267</v>
      </c>
      <c r="I8" s="201" t="s">
        <v>286</v>
      </c>
      <c r="J8" s="201" t="s">
        <v>287</v>
      </c>
      <c r="K8" s="201" t="s">
        <v>288</v>
      </c>
      <c r="L8" s="201" t="s">
        <v>316</v>
      </c>
    </row>
    <row r="9" spans="1:12" s="597" customFormat="1" ht="15">
      <c r="A9" s="467">
        <v>1</v>
      </c>
      <c r="B9" s="606" t="s">
        <v>912</v>
      </c>
      <c r="C9" s="599">
        <v>0</v>
      </c>
      <c r="D9" s="599">
        <v>0</v>
      </c>
      <c r="E9" s="599">
        <v>0</v>
      </c>
      <c r="F9" s="599">
        <v>0</v>
      </c>
      <c r="G9" s="599">
        <v>0</v>
      </c>
      <c r="H9" s="599">
        <v>0</v>
      </c>
      <c r="I9" s="599">
        <v>0</v>
      </c>
      <c r="J9" s="599">
        <v>0</v>
      </c>
      <c r="K9" s="599">
        <v>0</v>
      </c>
      <c r="L9" s="599">
        <v>0</v>
      </c>
    </row>
    <row r="10" spans="1:12" s="597" customFormat="1" ht="15">
      <c r="A10" s="467">
        <v>2</v>
      </c>
      <c r="B10" s="606" t="s">
        <v>913</v>
      </c>
      <c r="C10" s="599">
        <v>0</v>
      </c>
      <c r="D10" s="599">
        <v>0</v>
      </c>
      <c r="E10" s="599">
        <v>0</v>
      </c>
      <c r="F10" s="599">
        <v>0</v>
      </c>
      <c r="G10" s="599">
        <v>0</v>
      </c>
      <c r="H10" s="599">
        <v>0</v>
      </c>
      <c r="I10" s="599">
        <v>0</v>
      </c>
      <c r="J10" s="599">
        <v>0</v>
      </c>
      <c r="K10" s="599">
        <v>0</v>
      </c>
      <c r="L10" s="599">
        <v>0</v>
      </c>
    </row>
    <row r="11" spans="1:12" s="597" customFormat="1" ht="76.5">
      <c r="A11" s="467">
        <v>3</v>
      </c>
      <c r="B11" s="606" t="s">
        <v>914</v>
      </c>
      <c r="C11" s="599">
        <v>0</v>
      </c>
      <c r="D11" s="599">
        <v>0</v>
      </c>
      <c r="E11" s="599">
        <v>0</v>
      </c>
      <c r="F11" s="599">
        <v>2</v>
      </c>
      <c r="G11" s="599">
        <v>100</v>
      </c>
      <c r="H11" s="599" t="s">
        <v>1054</v>
      </c>
      <c r="I11" s="599">
        <v>500</v>
      </c>
      <c r="J11" s="599">
        <v>2</v>
      </c>
      <c r="K11" s="599">
        <v>0</v>
      </c>
      <c r="L11" s="599">
        <v>3059900</v>
      </c>
    </row>
    <row r="12" spans="1:12" s="597" customFormat="1" ht="15">
      <c r="A12" s="467">
        <v>4</v>
      </c>
      <c r="B12" s="606" t="s">
        <v>915</v>
      </c>
      <c r="C12" s="599">
        <v>0</v>
      </c>
      <c r="D12" s="599">
        <v>0</v>
      </c>
      <c r="E12" s="599">
        <v>0</v>
      </c>
      <c r="F12" s="599">
        <v>0</v>
      </c>
      <c r="G12" s="599">
        <v>0</v>
      </c>
      <c r="H12" s="599">
        <v>0</v>
      </c>
      <c r="I12" s="599">
        <v>0</v>
      </c>
      <c r="J12" s="599">
        <v>0</v>
      </c>
      <c r="K12" s="599">
        <v>0</v>
      </c>
      <c r="L12" s="599">
        <v>0</v>
      </c>
    </row>
    <row r="13" spans="1:12" s="597" customFormat="1" ht="38.25">
      <c r="A13" s="467">
        <v>5</v>
      </c>
      <c r="B13" s="606" t="s">
        <v>916</v>
      </c>
      <c r="C13" s="599">
        <v>23</v>
      </c>
      <c r="D13" s="599">
        <v>2080</v>
      </c>
      <c r="E13" s="599">
        <v>134800</v>
      </c>
      <c r="F13" s="599">
        <v>19</v>
      </c>
      <c r="G13" s="599">
        <v>679</v>
      </c>
      <c r="H13" s="599" t="s">
        <v>1028</v>
      </c>
      <c r="I13" s="599">
        <v>6601</v>
      </c>
      <c r="J13" s="599" t="s">
        <v>1030</v>
      </c>
      <c r="K13" s="599" t="s">
        <v>1029</v>
      </c>
      <c r="L13" s="599">
        <v>21783</v>
      </c>
    </row>
    <row r="14" spans="1:12" s="597" customFormat="1" ht="15">
      <c r="A14" s="467">
        <v>6</v>
      </c>
      <c r="B14" s="606" t="s">
        <v>917</v>
      </c>
      <c r="C14" s="599">
        <v>0</v>
      </c>
      <c r="D14" s="599">
        <v>0</v>
      </c>
      <c r="E14" s="599">
        <v>0</v>
      </c>
      <c r="F14" s="599">
        <v>0</v>
      </c>
      <c r="G14" s="599">
        <v>0</v>
      </c>
      <c r="H14" s="599">
        <v>0</v>
      </c>
      <c r="I14" s="599">
        <v>0</v>
      </c>
      <c r="J14" s="599">
        <v>0</v>
      </c>
      <c r="K14" s="599">
        <v>0</v>
      </c>
      <c r="L14" s="599">
        <v>0</v>
      </c>
    </row>
    <row r="15" spans="1:12" s="597" customFormat="1" ht="15">
      <c r="A15" s="467">
        <v>7</v>
      </c>
      <c r="B15" s="606" t="s">
        <v>918</v>
      </c>
      <c r="C15" s="599">
        <v>0</v>
      </c>
      <c r="D15" s="599">
        <v>0</v>
      </c>
      <c r="E15" s="599">
        <v>0</v>
      </c>
      <c r="F15" s="599">
        <v>0</v>
      </c>
      <c r="G15" s="599">
        <v>0</v>
      </c>
      <c r="H15" s="599">
        <v>0</v>
      </c>
      <c r="I15" s="599">
        <v>0</v>
      </c>
      <c r="J15" s="599">
        <v>0</v>
      </c>
      <c r="K15" s="599">
        <v>0</v>
      </c>
      <c r="L15" s="599">
        <v>0</v>
      </c>
    </row>
    <row r="16" spans="1:12" s="597" customFormat="1" ht="15">
      <c r="A16" s="467">
        <v>8</v>
      </c>
      <c r="B16" s="606" t="s">
        <v>919</v>
      </c>
      <c r="C16" s="599">
        <v>0</v>
      </c>
      <c r="D16" s="599">
        <v>0</v>
      </c>
      <c r="E16" s="599">
        <v>0</v>
      </c>
      <c r="F16" s="599">
        <v>0</v>
      </c>
      <c r="G16" s="599">
        <v>0</v>
      </c>
      <c r="H16" s="599">
        <v>0</v>
      </c>
      <c r="I16" s="599">
        <v>0</v>
      </c>
      <c r="J16" s="599">
        <v>0</v>
      </c>
      <c r="K16" s="599">
        <v>0</v>
      </c>
      <c r="L16" s="599">
        <v>0</v>
      </c>
    </row>
    <row r="17" spans="1:12" s="597" customFormat="1" ht="15">
      <c r="A17" s="467">
        <v>9</v>
      </c>
      <c r="B17" s="606" t="s">
        <v>920</v>
      </c>
      <c r="C17" s="599">
        <v>0</v>
      </c>
      <c r="D17" s="599">
        <v>0</v>
      </c>
      <c r="E17" s="599">
        <v>0</v>
      </c>
      <c r="F17" s="599">
        <v>0</v>
      </c>
      <c r="G17" s="599">
        <v>0</v>
      </c>
      <c r="H17" s="599">
        <v>0</v>
      </c>
      <c r="I17" s="599">
        <v>0</v>
      </c>
      <c r="J17" s="599">
        <v>0</v>
      </c>
      <c r="K17" s="599">
        <v>0</v>
      </c>
      <c r="L17" s="599">
        <v>0</v>
      </c>
    </row>
    <row r="18" spans="1:12" s="597" customFormat="1" ht="35.25" customHeight="1">
      <c r="A18" s="467">
        <v>10</v>
      </c>
      <c r="B18" s="606" t="s">
        <v>921</v>
      </c>
      <c r="C18" s="599">
        <v>0</v>
      </c>
      <c r="D18" s="599">
        <v>0</v>
      </c>
      <c r="E18" s="599">
        <v>0</v>
      </c>
      <c r="F18" s="599">
        <v>2423</v>
      </c>
      <c r="G18" s="599">
        <v>106338</v>
      </c>
      <c r="H18" s="600" t="s">
        <v>1051</v>
      </c>
      <c r="I18" s="599">
        <v>1063380</v>
      </c>
      <c r="J18" s="599">
        <v>0</v>
      </c>
      <c r="K18" s="599">
        <v>0</v>
      </c>
      <c r="L18" s="599">
        <v>0</v>
      </c>
    </row>
    <row r="19" spans="1:12" s="597" customFormat="1" ht="35.25" customHeight="1">
      <c r="A19" s="467">
        <v>11</v>
      </c>
      <c r="B19" s="606" t="s">
        <v>922</v>
      </c>
      <c r="C19" s="599">
        <v>0</v>
      </c>
      <c r="D19" s="599">
        <v>0</v>
      </c>
      <c r="E19" s="599">
        <v>0</v>
      </c>
      <c r="F19" s="599">
        <v>1465</v>
      </c>
      <c r="G19" s="599">
        <v>72262</v>
      </c>
      <c r="H19" s="600" t="s">
        <v>1051</v>
      </c>
      <c r="I19" s="599">
        <v>722620</v>
      </c>
      <c r="J19" s="601">
        <v>0</v>
      </c>
      <c r="K19" s="601">
        <v>0</v>
      </c>
      <c r="L19" s="601">
        <v>0</v>
      </c>
    </row>
    <row r="20" spans="1:12" s="597" customFormat="1" ht="54" customHeight="1">
      <c r="A20" s="467">
        <v>12</v>
      </c>
      <c r="B20" s="606" t="s">
        <v>923</v>
      </c>
      <c r="C20" s="599">
        <v>0</v>
      </c>
      <c r="D20" s="599">
        <v>0</v>
      </c>
      <c r="E20" s="599">
        <v>0</v>
      </c>
      <c r="F20" s="599">
        <v>36</v>
      </c>
      <c r="G20" s="599">
        <v>0</v>
      </c>
      <c r="H20" s="599" t="s">
        <v>1047</v>
      </c>
      <c r="I20" s="599"/>
      <c r="J20" s="599" t="s">
        <v>1048</v>
      </c>
      <c r="K20" s="599">
        <v>0</v>
      </c>
      <c r="L20" s="599">
        <v>207500</v>
      </c>
    </row>
    <row r="21" spans="1:12" s="597" customFormat="1" ht="51">
      <c r="A21" s="467">
        <v>13</v>
      </c>
      <c r="B21" s="606" t="s">
        <v>924</v>
      </c>
      <c r="C21" s="599">
        <v>0</v>
      </c>
      <c r="D21" s="599">
        <v>0</v>
      </c>
      <c r="E21" s="599">
        <v>0</v>
      </c>
      <c r="F21" s="599">
        <v>394</v>
      </c>
      <c r="G21" s="599">
        <v>99868</v>
      </c>
      <c r="H21" s="599" t="s">
        <v>1027</v>
      </c>
      <c r="I21" s="599">
        <v>177340</v>
      </c>
      <c r="J21" s="599">
        <v>0</v>
      </c>
      <c r="K21" s="599">
        <v>0</v>
      </c>
      <c r="L21" s="599">
        <v>0</v>
      </c>
    </row>
    <row r="22" spans="1:12" s="597" customFormat="1" ht="63.75">
      <c r="A22" s="467">
        <v>14</v>
      </c>
      <c r="B22" s="606" t="s">
        <v>925</v>
      </c>
      <c r="C22" s="599">
        <v>0</v>
      </c>
      <c r="D22" s="599">
        <v>0</v>
      </c>
      <c r="E22" s="599">
        <v>0</v>
      </c>
      <c r="F22" s="599">
        <v>92</v>
      </c>
      <c r="G22" s="599">
        <v>8409</v>
      </c>
      <c r="H22" s="599" t="s">
        <v>1058</v>
      </c>
      <c r="I22" s="599">
        <v>155800</v>
      </c>
      <c r="J22" s="599">
        <v>1</v>
      </c>
      <c r="K22" s="599">
        <v>0</v>
      </c>
      <c r="L22" s="599">
        <v>12000</v>
      </c>
    </row>
    <row r="23" spans="1:12" s="597" customFormat="1" ht="15">
      <c r="A23" s="467">
        <v>15</v>
      </c>
      <c r="B23" s="606" t="s">
        <v>926</v>
      </c>
      <c r="C23" s="599"/>
      <c r="D23" s="599"/>
      <c r="E23" s="599"/>
      <c r="F23" s="599"/>
      <c r="G23" s="599"/>
      <c r="H23" s="599"/>
      <c r="I23" s="599"/>
      <c r="J23" s="599"/>
      <c r="K23" s="599"/>
      <c r="L23" s="599"/>
    </row>
    <row r="24" spans="1:12" s="597" customFormat="1" ht="15">
      <c r="A24" s="467">
        <v>16</v>
      </c>
      <c r="B24" s="606" t="s">
        <v>927</v>
      </c>
      <c r="C24" s="621">
        <v>0</v>
      </c>
      <c r="D24" s="621">
        <v>0</v>
      </c>
      <c r="E24" s="621">
        <v>0</v>
      </c>
      <c r="F24" s="621">
        <v>2641</v>
      </c>
      <c r="G24" s="622">
        <v>11473</v>
      </c>
      <c r="H24" s="599" t="s">
        <v>1043</v>
      </c>
      <c r="I24" s="599">
        <v>291520</v>
      </c>
      <c r="J24" s="619">
        <v>0</v>
      </c>
      <c r="K24" s="619">
        <v>0</v>
      </c>
      <c r="L24" s="619">
        <v>0</v>
      </c>
    </row>
    <row r="25" spans="1:12" s="597" customFormat="1" ht="15">
      <c r="A25" s="467">
        <v>17</v>
      </c>
      <c r="B25" s="606" t="s">
        <v>928</v>
      </c>
      <c r="C25" s="599"/>
      <c r="D25" s="599"/>
      <c r="E25" s="599"/>
      <c r="F25" s="599"/>
      <c r="G25" s="599"/>
      <c r="H25" s="599"/>
      <c r="I25" s="599"/>
      <c r="J25" s="599"/>
      <c r="K25" s="599"/>
      <c r="L25" s="599"/>
    </row>
    <row r="26" spans="1:12" s="597" customFormat="1" ht="63.75">
      <c r="A26" s="470">
        <v>18</v>
      </c>
      <c r="B26" s="607" t="s">
        <v>929</v>
      </c>
      <c r="C26" s="599">
        <v>0</v>
      </c>
      <c r="D26" s="599">
        <v>0</v>
      </c>
      <c r="E26" s="599"/>
      <c r="F26" s="599">
        <v>1407</v>
      </c>
      <c r="G26" s="599">
        <v>118059</v>
      </c>
      <c r="H26" s="599" t="s">
        <v>1062</v>
      </c>
      <c r="I26" s="599">
        <v>368640</v>
      </c>
      <c r="J26" s="599">
        <v>709</v>
      </c>
      <c r="K26" s="599"/>
      <c r="L26" s="599">
        <v>386000</v>
      </c>
    </row>
    <row r="27" spans="1:12" s="597" customFormat="1" ht="38.25">
      <c r="A27" s="467">
        <v>19</v>
      </c>
      <c r="B27" s="606" t="s">
        <v>930</v>
      </c>
      <c r="C27" s="599">
        <v>0</v>
      </c>
      <c r="D27" s="599">
        <v>0</v>
      </c>
      <c r="E27" s="599">
        <v>0</v>
      </c>
      <c r="F27" s="599">
        <v>12</v>
      </c>
      <c r="G27" s="599">
        <v>4434</v>
      </c>
      <c r="H27" s="599" t="s">
        <v>1033</v>
      </c>
      <c r="I27" s="599">
        <v>818524</v>
      </c>
      <c r="J27" s="599">
        <v>0</v>
      </c>
      <c r="K27" s="599">
        <v>0</v>
      </c>
      <c r="L27" s="599">
        <v>0</v>
      </c>
    </row>
    <row r="28" spans="1:12" s="597" customFormat="1" ht="25.5">
      <c r="A28" s="470">
        <v>20</v>
      </c>
      <c r="B28" s="607" t="s">
        <v>931</v>
      </c>
      <c r="C28" s="626">
        <v>1066</v>
      </c>
      <c r="D28" s="626">
        <v>0</v>
      </c>
      <c r="E28" s="626">
        <v>0</v>
      </c>
      <c r="F28" s="626">
        <v>1066</v>
      </c>
      <c r="G28" s="626">
        <v>0</v>
      </c>
      <c r="H28" s="626">
        <v>0</v>
      </c>
      <c r="I28" s="626">
        <v>0</v>
      </c>
      <c r="J28" s="620" t="s">
        <v>1025</v>
      </c>
      <c r="K28" s="599"/>
      <c r="L28" s="599">
        <v>577000</v>
      </c>
    </row>
    <row r="29" spans="1:12" s="597" customFormat="1" ht="15">
      <c r="A29" s="467">
        <v>21</v>
      </c>
      <c r="B29" s="606" t="s">
        <v>932</v>
      </c>
      <c r="C29" s="627">
        <v>0</v>
      </c>
      <c r="D29" s="628">
        <v>0</v>
      </c>
      <c r="E29" s="629">
        <v>0</v>
      </c>
      <c r="F29" s="628">
        <v>335</v>
      </c>
      <c r="G29" s="628">
        <v>23298</v>
      </c>
      <c r="H29" s="630" t="s">
        <v>1037</v>
      </c>
      <c r="I29" s="629">
        <v>167500</v>
      </c>
      <c r="J29" s="630"/>
      <c r="K29" s="630"/>
      <c r="L29" s="629">
        <v>502500</v>
      </c>
    </row>
    <row r="30" spans="1:12" s="597" customFormat="1" ht="15">
      <c r="A30" s="467">
        <v>22</v>
      </c>
      <c r="B30" s="606" t="s">
        <v>933</v>
      </c>
      <c r="C30" s="599">
        <v>304</v>
      </c>
      <c r="D30" s="599">
        <v>13593</v>
      </c>
      <c r="E30" s="599">
        <v>3.39825</v>
      </c>
      <c r="F30" s="599">
        <v>398</v>
      </c>
      <c r="G30" s="599">
        <v>13955</v>
      </c>
      <c r="H30" s="599" t="s">
        <v>1037</v>
      </c>
      <c r="I30" s="628">
        <v>140000</v>
      </c>
      <c r="J30" s="630" t="s">
        <v>1038</v>
      </c>
      <c r="K30" s="630" t="s">
        <v>1039</v>
      </c>
      <c r="L30" s="599">
        <v>423000</v>
      </c>
    </row>
    <row r="31" spans="1:12" s="597" customFormat="1" ht="25.5">
      <c r="A31" s="467">
        <v>23</v>
      </c>
      <c r="B31" s="606" t="s">
        <v>934</v>
      </c>
      <c r="C31" s="599">
        <v>0</v>
      </c>
      <c r="D31" s="599">
        <v>0</v>
      </c>
      <c r="E31" s="599">
        <v>0</v>
      </c>
      <c r="F31" s="599">
        <v>79</v>
      </c>
      <c r="G31" s="599">
        <v>12280</v>
      </c>
      <c r="H31" s="601" t="s">
        <v>1022</v>
      </c>
      <c r="I31" s="622">
        <v>98200</v>
      </c>
      <c r="J31" s="601" t="s">
        <v>1023</v>
      </c>
      <c r="K31" s="601" t="s">
        <v>1024</v>
      </c>
      <c r="L31" s="599">
        <v>137000</v>
      </c>
    </row>
    <row r="32" spans="1:12" s="597" customFormat="1" ht="25.5">
      <c r="A32" s="467">
        <v>24</v>
      </c>
      <c r="B32" s="606" t="s">
        <v>935</v>
      </c>
      <c r="C32" s="599">
        <v>0</v>
      </c>
      <c r="D32" s="599">
        <v>0</v>
      </c>
      <c r="E32" s="599">
        <v>0</v>
      </c>
      <c r="F32" s="599">
        <v>105</v>
      </c>
      <c r="G32" s="599">
        <v>10407</v>
      </c>
      <c r="H32" s="599" t="s">
        <v>1041</v>
      </c>
      <c r="I32" s="599">
        <v>124884</v>
      </c>
      <c r="J32" s="623" t="s">
        <v>1038</v>
      </c>
      <c r="K32" s="623">
        <v>0</v>
      </c>
      <c r="L32" s="599">
        <v>124884</v>
      </c>
    </row>
    <row r="33" spans="1:12" s="597" customFormat="1" ht="102">
      <c r="A33" s="467">
        <v>25</v>
      </c>
      <c r="B33" s="606" t="s">
        <v>936</v>
      </c>
      <c r="C33" s="599">
        <v>0</v>
      </c>
      <c r="D33" s="599">
        <v>0</v>
      </c>
      <c r="E33" s="599">
        <v>0</v>
      </c>
      <c r="F33" s="599">
        <v>335</v>
      </c>
      <c r="G33" s="599">
        <v>51063</v>
      </c>
      <c r="H33" s="599" t="s">
        <v>1160</v>
      </c>
      <c r="I33" s="599">
        <v>269863</v>
      </c>
      <c r="J33" s="599" t="s">
        <v>1161</v>
      </c>
      <c r="K33" s="599">
        <v>0</v>
      </c>
      <c r="L33" s="599">
        <v>207000</v>
      </c>
    </row>
    <row r="34" spans="1:12" s="597" customFormat="1" ht="102">
      <c r="A34" s="467">
        <v>26</v>
      </c>
      <c r="B34" s="606" t="s">
        <v>937</v>
      </c>
      <c r="C34" s="599">
        <v>0</v>
      </c>
      <c r="D34" s="599">
        <v>0</v>
      </c>
      <c r="E34" s="599">
        <v>0</v>
      </c>
      <c r="F34" s="599">
        <v>15</v>
      </c>
      <c r="G34" s="599">
        <v>5125</v>
      </c>
      <c r="H34" s="599">
        <v>0</v>
      </c>
      <c r="I34" s="599">
        <v>46125</v>
      </c>
      <c r="J34" s="599" t="s">
        <v>1076</v>
      </c>
      <c r="K34" s="599">
        <v>0</v>
      </c>
      <c r="L34" s="599">
        <v>183900</v>
      </c>
    </row>
    <row r="35" spans="1:12" s="597" customFormat="1" ht="15">
      <c r="A35" s="467">
        <v>27</v>
      </c>
      <c r="B35" s="606" t="s">
        <v>938</v>
      </c>
      <c r="C35" s="599">
        <v>0</v>
      </c>
      <c r="D35" s="599">
        <v>0</v>
      </c>
      <c r="E35" s="599">
        <v>0</v>
      </c>
      <c r="F35" s="599">
        <v>0</v>
      </c>
      <c r="G35" s="599">
        <v>0</v>
      </c>
      <c r="H35" s="599">
        <v>0</v>
      </c>
      <c r="I35" s="599">
        <v>0</v>
      </c>
      <c r="J35" s="599">
        <v>0</v>
      </c>
      <c r="K35" s="599">
        <v>0</v>
      </c>
      <c r="L35" s="599">
        <v>0</v>
      </c>
    </row>
    <row r="36" spans="1:12" s="597" customFormat="1" ht="42" customHeight="1">
      <c r="A36" s="467">
        <v>28</v>
      </c>
      <c r="B36" s="606" t="s">
        <v>939</v>
      </c>
      <c r="C36" s="599">
        <v>0</v>
      </c>
      <c r="D36" s="599">
        <v>0</v>
      </c>
      <c r="E36" s="599">
        <v>0</v>
      </c>
      <c r="F36" s="621">
        <v>2365</v>
      </c>
      <c r="G36" s="599">
        <v>78825</v>
      </c>
      <c r="H36" s="599" t="s">
        <v>1018</v>
      </c>
      <c r="I36" s="599">
        <v>177420</v>
      </c>
      <c r="J36" s="599" t="s">
        <v>1019</v>
      </c>
      <c r="K36" s="599">
        <v>0</v>
      </c>
      <c r="L36" s="599">
        <v>0</v>
      </c>
    </row>
    <row r="37" spans="1:12" s="597" customFormat="1" ht="15">
      <c r="A37" s="467">
        <v>29</v>
      </c>
      <c r="B37" s="606" t="s">
        <v>940</v>
      </c>
      <c r="C37" s="599">
        <v>0</v>
      </c>
      <c r="D37" s="599">
        <v>0</v>
      </c>
      <c r="E37" s="599">
        <v>0</v>
      </c>
      <c r="F37" s="599">
        <v>0</v>
      </c>
      <c r="G37" s="599">
        <v>0</v>
      </c>
      <c r="H37" s="599">
        <v>0</v>
      </c>
      <c r="I37" s="599">
        <v>0</v>
      </c>
      <c r="J37" s="599">
        <v>0</v>
      </c>
      <c r="K37" s="599">
        <v>0</v>
      </c>
      <c r="L37" s="599">
        <v>0</v>
      </c>
    </row>
    <row r="38" spans="1:12" s="597" customFormat="1" ht="52.5" customHeight="1">
      <c r="A38" s="467">
        <v>30</v>
      </c>
      <c r="B38" s="606" t="s">
        <v>941</v>
      </c>
      <c r="C38" s="623">
        <v>0</v>
      </c>
      <c r="D38" s="623">
        <v>0</v>
      </c>
      <c r="E38" s="623">
        <v>0</v>
      </c>
      <c r="F38" s="625">
        <v>551</v>
      </c>
      <c r="G38" s="624">
        <v>115272</v>
      </c>
      <c r="H38" s="599" t="s">
        <v>1063</v>
      </c>
      <c r="I38" s="599">
        <v>50000</v>
      </c>
      <c r="J38" s="628">
        <f t="shared" ref="J38" si="0">N38*85%</f>
        <v>0</v>
      </c>
      <c r="K38" s="623">
        <v>0</v>
      </c>
      <c r="L38" s="623">
        <v>0</v>
      </c>
    </row>
    <row r="39" spans="1:12" s="597" customFormat="1" ht="15">
      <c r="A39" s="467">
        <v>31</v>
      </c>
      <c r="B39" s="606" t="s">
        <v>942</v>
      </c>
      <c r="C39" s="599">
        <v>0</v>
      </c>
      <c r="D39" s="599">
        <v>0</v>
      </c>
      <c r="E39" s="599">
        <v>0</v>
      </c>
      <c r="F39" s="599">
        <v>0</v>
      </c>
      <c r="G39" s="599">
        <v>0</v>
      </c>
      <c r="H39" s="599">
        <v>0</v>
      </c>
      <c r="I39" s="599">
        <v>0</v>
      </c>
      <c r="J39" s="599">
        <v>0</v>
      </c>
      <c r="K39" s="599">
        <v>0</v>
      </c>
      <c r="L39" s="599">
        <v>0</v>
      </c>
    </row>
    <row r="40" spans="1:12" s="597" customFormat="1" ht="15">
      <c r="A40" s="467">
        <v>32</v>
      </c>
      <c r="B40" s="606" t="s">
        <v>943</v>
      </c>
      <c r="C40" s="599">
        <v>0</v>
      </c>
      <c r="D40" s="599">
        <v>0</v>
      </c>
      <c r="E40" s="599">
        <v>0</v>
      </c>
      <c r="F40" s="599">
        <v>0</v>
      </c>
      <c r="G40" s="599">
        <v>0</v>
      </c>
      <c r="H40" s="599">
        <v>0</v>
      </c>
      <c r="I40" s="599">
        <v>0</v>
      </c>
      <c r="J40" s="599">
        <v>0</v>
      </c>
      <c r="K40" s="599">
        <v>0</v>
      </c>
      <c r="L40" s="599">
        <v>0</v>
      </c>
    </row>
    <row r="41" spans="1:12" s="597" customFormat="1" ht="102">
      <c r="A41" s="467">
        <v>33</v>
      </c>
      <c r="B41" s="606" t="s">
        <v>944</v>
      </c>
      <c r="C41" s="599">
        <v>0</v>
      </c>
      <c r="D41" s="599">
        <v>0</v>
      </c>
      <c r="E41" s="599">
        <v>0</v>
      </c>
      <c r="F41" s="599">
        <v>93</v>
      </c>
      <c r="G41" s="599">
        <v>7905</v>
      </c>
      <c r="H41" s="599" t="s">
        <v>1035</v>
      </c>
      <c r="I41" s="600">
        <v>51384</v>
      </c>
      <c r="J41" s="599" t="s">
        <v>1036</v>
      </c>
      <c r="K41" s="599">
        <v>0</v>
      </c>
      <c r="L41" s="600">
        <v>285000</v>
      </c>
    </row>
    <row r="42" spans="1:12" s="597" customFormat="1" ht="25.5">
      <c r="A42" s="467">
        <v>34</v>
      </c>
      <c r="B42" s="606" t="s">
        <v>945</v>
      </c>
      <c r="C42" s="599">
        <v>0</v>
      </c>
      <c r="D42" s="599">
        <v>0</v>
      </c>
      <c r="E42" s="599">
        <v>0</v>
      </c>
      <c r="F42" s="599">
        <v>210</v>
      </c>
      <c r="G42" s="599">
        <v>13426</v>
      </c>
      <c r="H42" s="599" t="s">
        <v>1045</v>
      </c>
      <c r="I42" s="599">
        <v>134260</v>
      </c>
      <c r="J42" s="599"/>
      <c r="K42" s="599"/>
      <c r="L42" s="599"/>
    </row>
    <row r="43" spans="1:12" s="597" customFormat="1">
      <c r="A43" s="922" t="s">
        <v>17</v>
      </c>
      <c r="B43" s="924"/>
      <c r="C43" s="601">
        <f>SUM(C9:C42)</f>
        <v>1393</v>
      </c>
      <c r="D43" s="601">
        <f t="shared" ref="D43:L43" si="1">SUM(D9:D42)</f>
        <v>15673</v>
      </c>
      <c r="E43" s="601">
        <f t="shared" si="1"/>
        <v>134803.39825</v>
      </c>
      <c r="F43" s="601">
        <f t="shared" si="1"/>
        <v>14043</v>
      </c>
      <c r="G43" s="601">
        <f t="shared" si="1"/>
        <v>753178</v>
      </c>
      <c r="H43" s="601">
        <f t="shared" si="1"/>
        <v>0</v>
      </c>
      <c r="I43" s="601">
        <f t="shared" si="1"/>
        <v>4864561</v>
      </c>
      <c r="J43" s="601">
        <f t="shared" si="1"/>
        <v>712</v>
      </c>
      <c r="K43" s="601">
        <f t="shared" si="1"/>
        <v>0</v>
      </c>
      <c r="L43" s="601">
        <f t="shared" si="1"/>
        <v>6127467</v>
      </c>
    </row>
    <row r="46" spans="1:12" ht="12.75" customHeight="1">
      <c r="A46" s="204"/>
      <c r="B46" s="803" t="s">
        <v>906</v>
      </c>
      <c r="C46" s="803"/>
      <c r="D46" s="803"/>
      <c r="E46" s="204"/>
      <c r="F46" s="204"/>
      <c r="K46" s="205" t="s">
        <v>12</v>
      </c>
    </row>
    <row r="47" spans="1:12" ht="12.75" customHeight="1">
      <c r="A47" s="204"/>
      <c r="B47" s="804" t="s">
        <v>907</v>
      </c>
      <c r="C47" s="804"/>
      <c r="D47" s="804"/>
      <c r="E47" s="204" t="s">
        <v>10</v>
      </c>
      <c r="F47" s="204"/>
      <c r="J47" s="901" t="s">
        <v>13</v>
      </c>
      <c r="K47" s="901"/>
      <c r="L47" s="901"/>
    </row>
    <row r="48" spans="1:12" ht="12.75" customHeight="1">
      <c r="A48" s="204"/>
      <c r="B48" s="804" t="s">
        <v>908</v>
      </c>
      <c r="C48" s="804"/>
      <c r="D48" s="804"/>
      <c r="E48" s="204"/>
      <c r="F48" s="204"/>
      <c r="J48" s="901" t="s">
        <v>87</v>
      </c>
      <c r="K48" s="901"/>
      <c r="L48" s="901"/>
    </row>
    <row r="49" spans="1:11">
      <c r="A49" s="204" t="s">
        <v>11</v>
      </c>
      <c r="F49" s="204"/>
      <c r="K49" s="206" t="s">
        <v>84</v>
      </c>
    </row>
  </sheetData>
  <mergeCells count="15">
    <mergeCell ref="J48:L48"/>
    <mergeCell ref="A1:K1"/>
    <mergeCell ref="C6:E6"/>
    <mergeCell ref="F6:I6"/>
    <mergeCell ref="J6:L6"/>
    <mergeCell ref="J47:L47"/>
    <mergeCell ref="A6:A7"/>
    <mergeCell ref="B6:B7"/>
    <mergeCell ref="A2:K2"/>
    <mergeCell ref="A4:K4"/>
    <mergeCell ref="J5:L5"/>
    <mergeCell ref="A43:B43"/>
    <mergeCell ref="B46:D46"/>
    <mergeCell ref="B47:D47"/>
    <mergeCell ref="B48:D48"/>
  </mergeCells>
  <printOptions horizontalCentered="1"/>
  <pageMargins left="0.70866141732283472" right="0.70866141732283472" top="0.23622047244094491" bottom="0" header="0.31496062992125984" footer="0.31496062992125984"/>
  <pageSetup paperSize="9" scale="40" orientation="landscape" r:id="rId1"/>
</worksheet>
</file>

<file path=xl/worksheets/sheet44.xml><?xml version="1.0" encoding="utf-8"?>
<worksheet xmlns="http://schemas.openxmlformats.org/spreadsheetml/2006/main" xmlns:r="http://schemas.openxmlformats.org/officeDocument/2006/relationships">
  <sheetPr codeName="Sheet44">
    <pageSetUpPr fitToPage="1"/>
  </sheetPr>
  <dimension ref="A1:K50"/>
  <sheetViews>
    <sheetView view="pageBreakPreview" topLeftCell="A25" zoomScale="80" zoomScaleSheetLayoutView="80" workbookViewId="0">
      <selection activeCell="J53" sqref="J53"/>
    </sheetView>
  </sheetViews>
  <sheetFormatPr defaultRowHeight="12.75"/>
  <cols>
    <col min="1" max="1" width="7.7109375" customWidth="1"/>
    <col min="2" max="2" width="23.28515625"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c r="A1" s="911" t="s">
        <v>0</v>
      </c>
      <c r="B1" s="911"/>
      <c r="C1" s="911"/>
      <c r="D1" s="911"/>
      <c r="E1" s="911"/>
      <c r="F1" s="911"/>
      <c r="G1" s="911"/>
      <c r="H1" s="911"/>
      <c r="I1" s="299"/>
      <c r="J1" s="299"/>
      <c r="K1" s="237" t="s">
        <v>525</v>
      </c>
    </row>
    <row r="2" spans="1:11" ht="21">
      <c r="A2" s="912" t="s">
        <v>745</v>
      </c>
      <c r="B2" s="912"/>
      <c r="C2" s="912"/>
      <c r="D2" s="912"/>
      <c r="E2" s="912"/>
      <c r="F2" s="912"/>
      <c r="G2" s="912"/>
      <c r="H2" s="912"/>
      <c r="I2" s="196"/>
      <c r="J2" s="196"/>
    </row>
    <row r="3" spans="1:11" ht="15">
      <c r="A3" s="197"/>
      <c r="B3" s="197"/>
      <c r="C3" s="197"/>
      <c r="D3" s="197"/>
      <c r="E3" s="197"/>
      <c r="F3" s="197"/>
      <c r="G3" s="197"/>
      <c r="H3" s="197"/>
      <c r="I3" s="197"/>
      <c r="J3" s="197"/>
    </row>
    <row r="4" spans="1:11" ht="18">
      <c r="A4" s="911" t="s">
        <v>524</v>
      </c>
      <c r="B4" s="911"/>
      <c r="C4" s="911"/>
      <c r="D4" s="911"/>
      <c r="E4" s="911"/>
      <c r="F4" s="911"/>
      <c r="G4" s="911"/>
      <c r="H4" s="911"/>
      <c r="I4" s="911"/>
      <c r="J4" s="911"/>
      <c r="K4" s="911"/>
    </row>
    <row r="5" spans="1:11" ht="15">
      <c r="A5" s="198" t="s">
        <v>253</v>
      </c>
      <c r="B5" s="198"/>
      <c r="C5" s="198"/>
      <c r="D5" s="198"/>
      <c r="E5" s="198"/>
      <c r="F5" s="198"/>
      <c r="G5" s="985" t="s">
        <v>831</v>
      </c>
      <c r="H5" s="985"/>
      <c r="I5" s="985"/>
      <c r="J5" s="985"/>
      <c r="K5" s="985"/>
    </row>
    <row r="6" spans="1:11" ht="21.75" customHeight="1">
      <c r="A6" s="986" t="s">
        <v>2</v>
      </c>
      <c r="B6" s="986" t="s">
        <v>37</v>
      </c>
      <c r="C6" s="821" t="s">
        <v>483</v>
      </c>
      <c r="D6" s="822"/>
      <c r="E6" s="823"/>
      <c r="F6" s="821" t="s">
        <v>486</v>
      </c>
      <c r="G6" s="822"/>
      <c r="H6" s="823"/>
      <c r="I6" s="917" t="s">
        <v>651</v>
      </c>
      <c r="J6" s="917" t="s">
        <v>650</v>
      </c>
      <c r="K6" s="917" t="s">
        <v>78</v>
      </c>
    </row>
    <row r="7" spans="1:11" ht="29.25" customHeight="1">
      <c r="A7" s="987"/>
      <c r="B7" s="987"/>
      <c r="C7" s="5" t="s">
        <v>482</v>
      </c>
      <c r="D7" s="5" t="s">
        <v>484</v>
      </c>
      <c r="E7" s="5" t="s">
        <v>485</v>
      </c>
      <c r="F7" s="5" t="s">
        <v>482</v>
      </c>
      <c r="G7" s="5" t="s">
        <v>484</v>
      </c>
      <c r="H7" s="5" t="s">
        <v>485</v>
      </c>
      <c r="I7" s="918"/>
      <c r="J7" s="918"/>
      <c r="K7" s="918"/>
    </row>
    <row r="8" spans="1:11" ht="15">
      <c r="A8" s="293">
        <v>1</v>
      </c>
      <c r="B8" s="293">
        <v>2</v>
      </c>
      <c r="C8" s="293">
        <v>3</v>
      </c>
      <c r="D8" s="293">
        <v>4</v>
      </c>
      <c r="E8" s="293">
        <v>5</v>
      </c>
      <c r="F8" s="293">
        <v>6</v>
      </c>
      <c r="G8" s="293">
        <v>7</v>
      </c>
      <c r="H8" s="293">
        <v>8</v>
      </c>
      <c r="I8" s="293">
        <v>9</v>
      </c>
      <c r="J8" s="293">
        <v>10</v>
      </c>
      <c r="K8" s="293">
        <v>11</v>
      </c>
    </row>
    <row r="9" spans="1:11" ht="15">
      <c r="A9" s="467">
        <v>1</v>
      </c>
      <c r="B9" s="397" t="s">
        <v>912</v>
      </c>
      <c r="C9" s="1032" t="s">
        <v>1013</v>
      </c>
      <c r="D9" s="1033"/>
      <c r="E9" s="1033"/>
      <c r="F9" s="1033"/>
      <c r="G9" s="1033"/>
      <c r="H9" s="1033"/>
      <c r="I9" s="1033"/>
      <c r="J9" s="1033"/>
      <c r="K9" s="1034"/>
    </row>
    <row r="10" spans="1:11" ht="15">
      <c r="A10" s="467">
        <v>2</v>
      </c>
      <c r="B10" s="397" t="s">
        <v>913</v>
      </c>
      <c r="C10" s="1035"/>
      <c r="D10" s="1036"/>
      <c r="E10" s="1036"/>
      <c r="F10" s="1036"/>
      <c r="G10" s="1036"/>
      <c r="H10" s="1036"/>
      <c r="I10" s="1036"/>
      <c r="J10" s="1036"/>
      <c r="K10" s="1037"/>
    </row>
    <row r="11" spans="1:11" ht="15">
      <c r="A11" s="467">
        <v>3</v>
      </c>
      <c r="B11" s="397" t="s">
        <v>914</v>
      </c>
      <c r="C11" s="1035"/>
      <c r="D11" s="1036"/>
      <c r="E11" s="1036"/>
      <c r="F11" s="1036"/>
      <c r="G11" s="1036"/>
      <c r="H11" s="1036"/>
      <c r="I11" s="1036"/>
      <c r="J11" s="1036"/>
      <c r="K11" s="1037"/>
    </row>
    <row r="12" spans="1:11" ht="15">
      <c r="A12" s="467">
        <v>4</v>
      </c>
      <c r="B12" s="397" t="s">
        <v>915</v>
      </c>
      <c r="C12" s="1035"/>
      <c r="D12" s="1036"/>
      <c r="E12" s="1036"/>
      <c r="F12" s="1036"/>
      <c r="G12" s="1036"/>
      <c r="H12" s="1036"/>
      <c r="I12" s="1036"/>
      <c r="J12" s="1036"/>
      <c r="K12" s="1037"/>
    </row>
    <row r="13" spans="1:11" ht="15">
      <c r="A13" s="467">
        <v>5</v>
      </c>
      <c r="B13" s="397" t="s">
        <v>916</v>
      </c>
      <c r="C13" s="1035"/>
      <c r="D13" s="1036"/>
      <c r="E13" s="1036"/>
      <c r="F13" s="1036"/>
      <c r="G13" s="1036"/>
      <c r="H13" s="1036"/>
      <c r="I13" s="1036"/>
      <c r="J13" s="1036"/>
      <c r="K13" s="1037"/>
    </row>
    <row r="14" spans="1:11" ht="15">
      <c r="A14" s="467">
        <v>6</v>
      </c>
      <c r="B14" s="397" t="s">
        <v>917</v>
      </c>
      <c r="C14" s="1035"/>
      <c r="D14" s="1036"/>
      <c r="E14" s="1036"/>
      <c r="F14" s="1036"/>
      <c r="G14" s="1036"/>
      <c r="H14" s="1036"/>
      <c r="I14" s="1036"/>
      <c r="J14" s="1036"/>
      <c r="K14" s="1037"/>
    </row>
    <row r="15" spans="1:11" ht="15">
      <c r="A15" s="467">
        <v>7</v>
      </c>
      <c r="B15" s="397" t="s">
        <v>918</v>
      </c>
      <c r="C15" s="1035"/>
      <c r="D15" s="1036"/>
      <c r="E15" s="1036"/>
      <c r="F15" s="1036"/>
      <c r="G15" s="1036"/>
      <c r="H15" s="1036"/>
      <c r="I15" s="1036"/>
      <c r="J15" s="1036"/>
      <c r="K15" s="1037"/>
    </row>
    <row r="16" spans="1:11" ht="15">
      <c r="A16" s="467">
        <v>8</v>
      </c>
      <c r="B16" s="397" t="s">
        <v>919</v>
      </c>
      <c r="C16" s="1035"/>
      <c r="D16" s="1036"/>
      <c r="E16" s="1036"/>
      <c r="F16" s="1036"/>
      <c r="G16" s="1036"/>
      <c r="H16" s="1036"/>
      <c r="I16" s="1036"/>
      <c r="J16" s="1036"/>
      <c r="K16" s="1037"/>
    </row>
    <row r="17" spans="1:11" ht="15">
      <c r="A17" s="467">
        <v>9</v>
      </c>
      <c r="B17" s="397" t="s">
        <v>920</v>
      </c>
      <c r="C17" s="1035"/>
      <c r="D17" s="1036"/>
      <c r="E17" s="1036"/>
      <c r="F17" s="1036"/>
      <c r="G17" s="1036"/>
      <c r="H17" s="1036"/>
      <c r="I17" s="1036"/>
      <c r="J17" s="1036"/>
      <c r="K17" s="1037"/>
    </row>
    <row r="18" spans="1:11" ht="15">
      <c r="A18" s="467">
        <v>10</v>
      </c>
      <c r="B18" s="397" t="s">
        <v>921</v>
      </c>
      <c r="C18" s="1035"/>
      <c r="D18" s="1036"/>
      <c r="E18" s="1036"/>
      <c r="F18" s="1036"/>
      <c r="G18" s="1036"/>
      <c r="H18" s="1036"/>
      <c r="I18" s="1036"/>
      <c r="J18" s="1036"/>
      <c r="K18" s="1037"/>
    </row>
    <row r="19" spans="1:11" ht="15">
      <c r="A19" s="467">
        <v>11</v>
      </c>
      <c r="B19" s="397" t="s">
        <v>922</v>
      </c>
      <c r="C19" s="1035"/>
      <c r="D19" s="1036"/>
      <c r="E19" s="1036"/>
      <c r="F19" s="1036"/>
      <c r="G19" s="1036"/>
      <c r="H19" s="1036"/>
      <c r="I19" s="1036"/>
      <c r="J19" s="1036"/>
      <c r="K19" s="1037"/>
    </row>
    <row r="20" spans="1:11" ht="15">
      <c r="A20" s="467">
        <v>12</v>
      </c>
      <c r="B20" s="397" t="s">
        <v>923</v>
      </c>
      <c r="C20" s="1035"/>
      <c r="D20" s="1036"/>
      <c r="E20" s="1036"/>
      <c r="F20" s="1036"/>
      <c r="G20" s="1036"/>
      <c r="H20" s="1036"/>
      <c r="I20" s="1036"/>
      <c r="J20" s="1036"/>
      <c r="K20" s="1037"/>
    </row>
    <row r="21" spans="1:11" ht="15">
      <c r="A21" s="467">
        <v>13</v>
      </c>
      <c r="B21" s="397" t="s">
        <v>924</v>
      </c>
      <c r="C21" s="1035"/>
      <c r="D21" s="1036"/>
      <c r="E21" s="1036"/>
      <c r="F21" s="1036"/>
      <c r="G21" s="1036"/>
      <c r="H21" s="1036"/>
      <c r="I21" s="1036"/>
      <c r="J21" s="1036"/>
      <c r="K21" s="1037"/>
    </row>
    <row r="22" spans="1:11" ht="15">
      <c r="A22" s="467">
        <v>14</v>
      </c>
      <c r="B22" s="397" t="s">
        <v>925</v>
      </c>
      <c r="C22" s="1035"/>
      <c r="D22" s="1036"/>
      <c r="E22" s="1036"/>
      <c r="F22" s="1036"/>
      <c r="G22" s="1036"/>
      <c r="H22" s="1036"/>
      <c r="I22" s="1036"/>
      <c r="J22" s="1036"/>
      <c r="K22" s="1037"/>
    </row>
    <row r="23" spans="1:11" ht="15">
      <c r="A23" s="467">
        <v>15</v>
      </c>
      <c r="B23" s="397" t="s">
        <v>926</v>
      </c>
      <c r="C23" s="1035"/>
      <c r="D23" s="1036"/>
      <c r="E23" s="1036"/>
      <c r="F23" s="1036"/>
      <c r="G23" s="1036"/>
      <c r="H23" s="1036"/>
      <c r="I23" s="1036"/>
      <c r="J23" s="1036"/>
      <c r="K23" s="1037"/>
    </row>
    <row r="24" spans="1:11" ht="15">
      <c r="A24" s="467">
        <v>16</v>
      </c>
      <c r="B24" s="397" t="s">
        <v>927</v>
      </c>
      <c r="C24" s="1035"/>
      <c r="D24" s="1036"/>
      <c r="E24" s="1036"/>
      <c r="F24" s="1036"/>
      <c r="G24" s="1036"/>
      <c r="H24" s="1036"/>
      <c r="I24" s="1036"/>
      <c r="J24" s="1036"/>
      <c r="K24" s="1037"/>
    </row>
    <row r="25" spans="1:11" ht="15">
      <c r="A25" s="467">
        <v>17</v>
      </c>
      <c r="B25" s="397" t="s">
        <v>928</v>
      </c>
      <c r="C25" s="1035"/>
      <c r="D25" s="1036"/>
      <c r="E25" s="1036"/>
      <c r="F25" s="1036"/>
      <c r="G25" s="1036"/>
      <c r="H25" s="1036"/>
      <c r="I25" s="1036"/>
      <c r="J25" s="1036"/>
      <c r="K25" s="1037"/>
    </row>
    <row r="26" spans="1:11" ht="15">
      <c r="A26" s="470">
        <v>18</v>
      </c>
      <c r="B26" s="398" t="s">
        <v>929</v>
      </c>
      <c r="C26" s="1035"/>
      <c r="D26" s="1036"/>
      <c r="E26" s="1036"/>
      <c r="F26" s="1036"/>
      <c r="G26" s="1036"/>
      <c r="H26" s="1036"/>
      <c r="I26" s="1036"/>
      <c r="J26" s="1036"/>
      <c r="K26" s="1037"/>
    </row>
    <row r="27" spans="1:11" ht="15">
      <c r="A27" s="467">
        <v>19</v>
      </c>
      <c r="B27" s="397" t="s">
        <v>930</v>
      </c>
      <c r="C27" s="1035"/>
      <c r="D27" s="1036"/>
      <c r="E27" s="1036"/>
      <c r="F27" s="1036"/>
      <c r="G27" s="1036"/>
      <c r="H27" s="1036"/>
      <c r="I27" s="1036"/>
      <c r="J27" s="1036"/>
      <c r="K27" s="1037"/>
    </row>
    <row r="28" spans="1:11" ht="15">
      <c r="A28" s="470">
        <v>20</v>
      </c>
      <c r="B28" s="398" t="s">
        <v>931</v>
      </c>
      <c r="C28" s="1035"/>
      <c r="D28" s="1036"/>
      <c r="E28" s="1036"/>
      <c r="F28" s="1036"/>
      <c r="G28" s="1036"/>
      <c r="H28" s="1036"/>
      <c r="I28" s="1036"/>
      <c r="J28" s="1036"/>
      <c r="K28" s="1037"/>
    </row>
    <row r="29" spans="1:11" ht="15">
      <c r="A29" s="467">
        <v>21</v>
      </c>
      <c r="B29" s="397" t="s">
        <v>932</v>
      </c>
      <c r="C29" s="1035"/>
      <c r="D29" s="1036"/>
      <c r="E29" s="1036"/>
      <c r="F29" s="1036"/>
      <c r="G29" s="1036"/>
      <c r="H29" s="1036"/>
      <c r="I29" s="1036"/>
      <c r="J29" s="1036"/>
      <c r="K29" s="1037"/>
    </row>
    <row r="30" spans="1:11" ht="15">
      <c r="A30" s="467">
        <v>22</v>
      </c>
      <c r="B30" s="397" t="s">
        <v>933</v>
      </c>
      <c r="C30" s="1035"/>
      <c r="D30" s="1036"/>
      <c r="E30" s="1036"/>
      <c r="F30" s="1036"/>
      <c r="G30" s="1036"/>
      <c r="H30" s="1036"/>
      <c r="I30" s="1036"/>
      <c r="J30" s="1036"/>
      <c r="K30" s="1037"/>
    </row>
    <row r="31" spans="1:11" ht="15">
      <c r="A31" s="467">
        <v>23</v>
      </c>
      <c r="B31" s="397" t="s">
        <v>934</v>
      </c>
      <c r="C31" s="1035"/>
      <c r="D31" s="1036"/>
      <c r="E31" s="1036"/>
      <c r="F31" s="1036"/>
      <c r="G31" s="1036"/>
      <c r="H31" s="1036"/>
      <c r="I31" s="1036"/>
      <c r="J31" s="1036"/>
      <c r="K31" s="1037"/>
    </row>
    <row r="32" spans="1:11" ht="15">
      <c r="A32" s="467">
        <v>24</v>
      </c>
      <c r="B32" s="397" t="s">
        <v>935</v>
      </c>
      <c r="C32" s="1035"/>
      <c r="D32" s="1036"/>
      <c r="E32" s="1036"/>
      <c r="F32" s="1036"/>
      <c r="G32" s="1036"/>
      <c r="H32" s="1036"/>
      <c r="I32" s="1036"/>
      <c r="J32" s="1036"/>
      <c r="K32" s="1037"/>
    </row>
    <row r="33" spans="1:11" ht="15">
      <c r="A33" s="467">
        <v>25</v>
      </c>
      <c r="B33" s="397" t="s">
        <v>936</v>
      </c>
      <c r="C33" s="1035"/>
      <c r="D33" s="1036"/>
      <c r="E33" s="1036"/>
      <c r="F33" s="1036"/>
      <c r="G33" s="1036"/>
      <c r="H33" s="1036"/>
      <c r="I33" s="1036"/>
      <c r="J33" s="1036"/>
      <c r="K33" s="1037"/>
    </row>
    <row r="34" spans="1:11" ht="15">
      <c r="A34" s="467">
        <v>26</v>
      </c>
      <c r="B34" s="397" t="s">
        <v>937</v>
      </c>
      <c r="C34" s="1035"/>
      <c r="D34" s="1036"/>
      <c r="E34" s="1036"/>
      <c r="F34" s="1036"/>
      <c r="G34" s="1036"/>
      <c r="H34" s="1036"/>
      <c r="I34" s="1036"/>
      <c r="J34" s="1036"/>
      <c r="K34" s="1037"/>
    </row>
    <row r="35" spans="1:11" ht="15">
      <c r="A35" s="467">
        <v>27</v>
      </c>
      <c r="B35" s="397" t="s">
        <v>938</v>
      </c>
      <c r="C35" s="1035"/>
      <c r="D35" s="1036"/>
      <c r="E35" s="1036"/>
      <c r="F35" s="1036"/>
      <c r="G35" s="1036"/>
      <c r="H35" s="1036"/>
      <c r="I35" s="1036"/>
      <c r="J35" s="1036"/>
      <c r="K35" s="1037"/>
    </row>
    <row r="36" spans="1:11" ht="15">
      <c r="A36" s="467">
        <v>28</v>
      </c>
      <c r="B36" s="397" t="s">
        <v>939</v>
      </c>
      <c r="C36" s="1035"/>
      <c r="D36" s="1036"/>
      <c r="E36" s="1036"/>
      <c r="F36" s="1036"/>
      <c r="G36" s="1036"/>
      <c r="H36" s="1036"/>
      <c r="I36" s="1036"/>
      <c r="J36" s="1036"/>
      <c r="K36" s="1037"/>
    </row>
    <row r="37" spans="1:11" ht="15">
      <c r="A37" s="467">
        <v>29</v>
      </c>
      <c r="B37" s="397" t="s">
        <v>940</v>
      </c>
      <c r="C37" s="1035"/>
      <c r="D37" s="1036"/>
      <c r="E37" s="1036"/>
      <c r="F37" s="1036"/>
      <c r="G37" s="1036"/>
      <c r="H37" s="1036"/>
      <c r="I37" s="1036"/>
      <c r="J37" s="1036"/>
      <c r="K37" s="1037"/>
    </row>
    <row r="38" spans="1:11" ht="15">
      <c r="A38" s="467">
        <v>30</v>
      </c>
      <c r="B38" s="397" t="s">
        <v>941</v>
      </c>
      <c r="C38" s="1035"/>
      <c r="D38" s="1036"/>
      <c r="E38" s="1036"/>
      <c r="F38" s="1036"/>
      <c r="G38" s="1036"/>
      <c r="H38" s="1036"/>
      <c r="I38" s="1036"/>
      <c r="J38" s="1036"/>
      <c r="K38" s="1037"/>
    </row>
    <row r="39" spans="1:11" ht="15">
      <c r="A39" s="467">
        <v>31</v>
      </c>
      <c r="B39" s="397" t="s">
        <v>942</v>
      </c>
      <c r="C39" s="1035"/>
      <c r="D39" s="1036"/>
      <c r="E39" s="1036"/>
      <c r="F39" s="1036"/>
      <c r="G39" s="1036"/>
      <c r="H39" s="1036"/>
      <c r="I39" s="1036"/>
      <c r="J39" s="1036"/>
      <c r="K39" s="1037"/>
    </row>
    <row r="40" spans="1:11" ht="15">
      <c r="A40" s="467">
        <v>32</v>
      </c>
      <c r="B40" s="397" t="s">
        <v>943</v>
      </c>
      <c r="C40" s="1035"/>
      <c r="D40" s="1036"/>
      <c r="E40" s="1036"/>
      <c r="F40" s="1036"/>
      <c r="G40" s="1036"/>
      <c r="H40" s="1036"/>
      <c r="I40" s="1036"/>
      <c r="J40" s="1036"/>
      <c r="K40" s="1037"/>
    </row>
    <row r="41" spans="1:11" ht="15">
      <c r="A41" s="467">
        <v>33</v>
      </c>
      <c r="B41" s="397" t="s">
        <v>944</v>
      </c>
      <c r="C41" s="1035"/>
      <c r="D41" s="1036"/>
      <c r="E41" s="1036"/>
      <c r="F41" s="1036"/>
      <c r="G41" s="1036"/>
      <c r="H41" s="1036"/>
      <c r="I41" s="1036"/>
      <c r="J41" s="1036"/>
      <c r="K41" s="1037"/>
    </row>
    <row r="42" spans="1:11" ht="15">
      <c r="A42" s="467">
        <v>34</v>
      </c>
      <c r="B42" s="397" t="s">
        <v>945</v>
      </c>
      <c r="C42" s="1038"/>
      <c r="D42" s="1039"/>
      <c r="E42" s="1039"/>
      <c r="F42" s="1039"/>
      <c r="G42" s="1039"/>
      <c r="H42" s="1039"/>
      <c r="I42" s="1039"/>
      <c r="J42" s="1039"/>
      <c r="K42" s="1040"/>
    </row>
    <row r="43" spans="1:11">
      <c r="A43" s="27" t="s">
        <v>17</v>
      </c>
      <c r="B43" s="9"/>
      <c r="C43" s="9"/>
      <c r="D43" s="9"/>
      <c r="E43" s="9"/>
      <c r="F43" s="9"/>
      <c r="G43" s="9"/>
      <c r="H43" s="9"/>
      <c r="I43" s="9"/>
      <c r="J43" s="9"/>
      <c r="K43" s="9"/>
    </row>
    <row r="46" spans="1:11" ht="12.75" customHeight="1">
      <c r="A46" s="204"/>
      <c r="B46" s="204"/>
      <c r="C46" s="204"/>
      <c r="D46" s="204"/>
      <c r="E46" s="204"/>
      <c r="F46" s="204"/>
    </row>
    <row r="47" spans="1:11" ht="12.75" customHeight="1">
      <c r="A47" s="204"/>
      <c r="B47" s="803" t="s">
        <v>906</v>
      </c>
      <c r="C47" s="803"/>
      <c r="D47" s="803"/>
      <c r="E47" s="204"/>
      <c r="F47" s="204"/>
      <c r="G47" s="219"/>
      <c r="H47" s="219"/>
      <c r="I47" s="698"/>
      <c r="J47" s="790" t="s">
        <v>12</v>
      </c>
      <c r="K47" s="698"/>
    </row>
    <row r="48" spans="1:11" ht="12.75" customHeight="1">
      <c r="A48" s="204"/>
      <c r="B48" s="804" t="s">
        <v>907</v>
      </c>
      <c r="C48" s="804"/>
      <c r="D48" s="804"/>
      <c r="E48" s="204"/>
      <c r="F48" s="204"/>
      <c r="G48" s="219"/>
      <c r="H48" s="219"/>
      <c r="I48" s="901" t="s">
        <v>13</v>
      </c>
      <c r="J48" s="901"/>
      <c r="K48" s="901"/>
    </row>
    <row r="49" spans="2:11" ht="12.75" customHeight="1">
      <c r="B49" s="804" t="s">
        <v>908</v>
      </c>
      <c r="C49" s="804"/>
      <c r="D49" s="804"/>
      <c r="F49" s="204"/>
      <c r="G49" s="698"/>
      <c r="H49" s="790"/>
      <c r="I49" s="901" t="s">
        <v>87</v>
      </c>
      <c r="J49" s="901"/>
      <c r="K49" s="901"/>
    </row>
    <row r="50" spans="2:11">
      <c r="G50" s="698"/>
      <c r="H50" s="789"/>
      <c r="I50" s="698"/>
      <c r="J50" s="789" t="s">
        <v>84</v>
      </c>
      <c r="K50" s="698"/>
    </row>
  </sheetData>
  <mergeCells count="17">
    <mergeCell ref="A1:H1"/>
    <mergeCell ref="A2:H2"/>
    <mergeCell ref="K6:K7"/>
    <mergeCell ref="I6:I7"/>
    <mergeCell ref="J6:J7"/>
    <mergeCell ref="A4:K4"/>
    <mergeCell ref="A6:A7"/>
    <mergeCell ref="B6:B7"/>
    <mergeCell ref="C6:E6"/>
    <mergeCell ref="F6:H6"/>
    <mergeCell ref="B48:D48"/>
    <mergeCell ref="B49:D49"/>
    <mergeCell ref="I48:K48"/>
    <mergeCell ref="I49:K49"/>
    <mergeCell ref="G5:K5"/>
    <mergeCell ref="C9:K42"/>
    <mergeCell ref="B47:D47"/>
  </mergeCells>
  <printOptions horizontalCentered="1"/>
  <pageMargins left="0.70866141732283472" right="0.70866141732283472" top="0.23622047244094491" bottom="0" header="0.31496062992125984" footer="0.31496062992125984"/>
  <pageSetup paperSize="9" scale="78" orientation="landscape" r:id="rId1"/>
</worksheet>
</file>

<file path=xl/worksheets/sheet45.xml><?xml version="1.0" encoding="utf-8"?>
<worksheet xmlns="http://schemas.openxmlformats.org/spreadsheetml/2006/main" xmlns:r="http://schemas.openxmlformats.org/officeDocument/2006/relationships">
  <sheetPr codeName="Sheet45">
    <pageSetUpPr fitToPage="1"/>
  </sheetPr>
  <dimension ref="A1:L54"/>
  <sheetViews>
    <sheetView view="pageBreakPreview" topLeftCell="A25" zoomScaleNormal="85" zoomScaleSheetLayoutView="100" workbookViewId="0">
      <selection activeCell="C33" sqref="C33:L33"/>
    </sheetView>
  </sheetViews>
  <sheetFormatPr defaultRowHeight="12.75"/>
  <cols>
    <col min="1" max="1" width="7.42578125" customWidth="1"/>
    <col min="2" max="2" width="18.42578125" customWidth="1"/>
    <col min="3" max="3" width="9.85546875" customWidth="1"/>
    <col min="4" max="4" width="10.140625" customWidth="1"/>
    <col min="5" max="5" width="11.28515625" customWidth="1"/>
    <col min="6" max="6" width="12.42578125" customWidth="1"/>
    <col min="7" max="7" width="9.42578125" customWidth="1"/>
    <col min="8" max="8" width="11.7109375" customWidth="1"/>
    <col min="9" max="9" width="9.85546875" customWidth="1"/>
    <col min="10" max="10" width="10.28515625" customWidth="1"/>
    <col min="11" max="11" width="15.5703125" customWidth="1"/>
    <col min="12" max="12" width="16.5703125" customWidth="1"/>
  </cols>
  <sheetData>
    <row r="1" spans="1:12" ht="15">
      <c r="A1" s="86"/>
      <c r="B1" s="86"/>
      <c r="C1" s="86"/>
      <c r="D1" s="86"/>
      <c r="E1" s="86"/>
      <c r="F1" s="86"/>
      <c r="G1" s="86"/>
      <c r="H1" s="86"/>
      <c r="K1" s="919" t="s">
        <v>88</v>
      </c>
      <c r="L1" s="919"/>
    </row>
    <row r="2" spans="1:12" ht="15.75">
      <c r="A2" s="1043" t="s">
        <v>0</v>
      </c>
      <c r="B2" s="1043"/>
      <c r="C2" s="1043"/>
      <c r="D2" s="1043"/>
      <c r="E2" s="1043"/>
      <c r="F2" s="1043"/>
      <c r="G2" s="1043"/>
      <c r="H2" s="1043"/>
      <c r="I2" s="86"/>
      <c r="J2" s="86"/>
      <c r="K2" s="86"/>
      <c r="L2" s="86"/>
    </row>
    <row r="3" spans="1:12" ht="20.25">
      <c r="A3" s="881" t="s">
        <v>745</v>
      </c>
      <c r="B3" s="881"/>
      <c r="C3" s="881"/>
      <c r="D3" s="881"/>
      <c r="E3" s="881"/>
      <c r="F3" s="881"/>
      <c r="G3" s="881"/>
      <c r="H3" s="881"/>
      <c r="I3" s="86"/>
      <c r="J3" s="86"/>
      <c r="K3" s="86"/>
      <c r="L3" s="86"/>
    </row>
    <row r="4" spans="1:12">
      <c r="A4" s="86"/>
      <c r="B4" s="86"/>
      <c r="C4" s="86"/>
      <c r="D4" s="86"/>
      <c r="E4" s="86"/>
      <c r="F4" s="86"/>
      <c r="G4" s="86"/>
      <c r="H4" s="86"/>
      <c r="I4" s="86"/>
      <c r="J4" s="86"/>
      <c r="K4" s="86"/>
      <c r="L4" s="86"/>
    </row>
    <row r="5" spans="1:12" ht="15.75">
      <c r="A5" s="882" t="s">
        <v>863</v>
      </c>
      <c r="B5" s="882"/>
      <c r="C5" s="882"/>
      <c r="D5" s="882"/>
      <c r="E5" s="882"/>
      <c r="F5" s="882"/>
      <c r="G5" s="882"/>
      <c r="H5" s="882"/>
      <c r="I5" s="882"/>
      <c r="J5" s="882"/>
      <c r="K5" s="882"/>
      <c r="L5" s="882"/>
    </row>
    <row r="6" spans="1:12">
      <c r="A6" s="86"/>
      <c r="B6" s="86"/>
      <c r="C6" s="86"/>
      <c r="D6" s="86"/>
      <c r="E6" s="86"/>
      <c r="F6" s="86"/>
      <c r="G6" s="86"/>
      <c r="H6" s="86"/>
      <c r="I6" s="86"/>
      <c r="J6" s="86"/>
      <c r="K6" s="86"/>
      <c r="L6" s="86"/>
    </row>
    <row r="7" spans="1:12">
      <c r="A7" s="850" t="s">
        <v>948</v>
      </c>
      <c r="B7" s="850"/>
      <c r="C7" s="86"/>
      <c r="D7" s="86"/>
      <c r="E7" s="86"/>
      <c r="F7" s="86"/>
      <c r="G7" s="86"/>
      <c r="H7" s="295"/>
      <c r="I7" s="86"/>
      <c r="J7" s="86"/>
      <c r="K7" s="86"/>
      <c r="L7" s="86"/>
    </row>
    <row r="8" spans="1:12" ht="18">
      <c r="A8" s="89"/>
      <c r="B8" s="89"/>
      <c r="C8" s="86"/>
      <c r="D8" s="86"/>
      <c r="E8" s="86"/>
      <c r="F8" s="86"/>
      <c r="G8" s="86"/>
      <c r="H8" s="86"/>
      <c r="I8" s="112"/>
      <c r="J8" s="134"/>
      <c r="K8" s="914" t="s">
        <v>831</v>
      </c>
      <c r="L8" s="914"/>
    </row>
    <row r="9" spans="1:12" ht="45.75" customHeight="1">
      <c r="A9" s="1041" t="s">
        <v>217</v>
      </c>
      <c r="B9" s="1041" t="s">
        <v>216</v>
      </c>
      <c r="C9" s="834" t="s">
        <v>491</v>
      </c>
      <c r="D9" s="834" t="s">
        <v>492</v>
      </c>
      <c r="E9" s="1044" t="s">
        <v>493</v>
      </c>
      <c r="F9" s="1044"/>
      <c r="G9" s="1044" t="s">
        <v>448</v>
      </c>
      <c r="H9" s="1044"/>
      <c r="I9" s="1044" t="s">
        <v>227</v>
      </c>
      <c r="J9" s="1044"/>
      <c r="K9" s="903" t="s">
        <v>228</v>
      </c>
      <c r="L9" s="903"/>
    </row>
    <row r="10" spans="1:12" ht="53.25" customHeight="1">
      <c r="A10" s="1042"/>
      <c r="B10" s="1042"/>
      <c r="C10" s="834"/>
      <c r="D10" s="834"/>
      <c r="E10" s="5" t="s">
        <v>215</v>
      </c>
      <c r="F10" s="5" t="s">
        <v>198</v>
      </c>
      <c r="G10" s="5" t="s">
        <v>215</v>
      </c>
      <c r="H10" s="5" t="s">
        <v>198</v>
      </c>
      <c r="I10" s="5" t="s">
        <v>215</v>
      </c>
      <c r="J10" s="5" t="s">
        <v>198</v>
      </c>
      <c r="K10" s="5" t="s">
        <v>719</v>
      </c>
      <c r="L10" s="5" t="s">
        <v>718</v>
      </c>
    </row>
    <row r="11" spans="1:12" s="14" customFormat="1">
      <c r="A11" s="91">
        <v>1</v>
      </c>
      <c r="B11" s="91">
        <v>2</v>
      </c>
      <c r="C11" s="91">
        <v>3</v>
      </c>
      <c r="D11" s="91">
        <v>4</v>
      </c>
      <c r="E11" s="91">
        <v>5</v>
      </c>
      <c r="F11" s="91">
        <v>6</v>
      </c>
      <c r="G11" s="91">
        <v>7</v>
      </c>
      <c r="H11" s="91">
        <v>8</v>
      </c>
      <c r="I11" s="91">
        <v>9</v>
      </c>
      <c r="J11" s="91">
        <v>10</v>
      </c>
      <c r="K11" s="91">
        <v>11</v>
      </c>
      <c r="L11" s="91">
        <v>12</v>
      </c>
    </row>
    <row r="12" spans="1:12">
      <c r="A12" s="93">
        <v>1</v>
      </c>
      <c r="B12" s="518" t="s">
        <v>912</v>
      </c>
      <c r="C12" s="94">
        <v>830</v>
      </c>
      <c r="D12" s="94">
        <v>101859</v>
      </c>
      <c r="E12" s="94">
        <v>687</v>
      </c>
      <c r="F12" s="94">
        <v>83524</v>
      </c>
      <c r="G12" s="94">
        <v>830</v>
      </c>
      <c r="H12" s="94">
        <v>101859</v>
      </c>
      <c r="I12" s="94">
        <v>830</v>
      </c>
      <c r="J12" s="94">
        <v>101859</v>
      </c>
      <c r="K12" s="94">
        <v>0</v>
      </c>
      <c r="L12" s="94">
        <v>0</v>
      </c>
    </row>
    <row r="13" spans="1:12">
      <c r="A13" s="93">
        <v>2</v>
      </c>
      <c r="B13" s="518" t="s">
        <v>913</v>
      </c>
      <c r="C13" s="94">
        <v>1283</v>
      </c>
      <c r="D13" s="94">
        <v>151022</v>
      </c>
      <c r="E13" s="94">
        <v>1072</v>
      </c>
      <c r="F13" s="94">
        <v>123838</v>
      </c>
      <c r="G13" s="94">
        <v>1283</v>
      </c>
      <c r="H13" s="94">
        <v>151022</v>
      </c>
      <c r="I13" s="94">
        <v>1283</v>
      </c>
      <c r="J13" s="94">
        <v>151022</v>
      </c>
      <c r="K13" s="94">
        <v>476</v>
      </c>
      <c r="L13" s="94">
        <v>238</v>
      </c>
    </row>
    <row r="14" spans="1:12">
      <c r="A14" s="93">
        <v>3</v>
      </c>
      <c r="B14" s="518" t="s">
        <v>914</v>
      </c>
      <c r="C14" s="94">
        <v>2030</v>
      </c>
      <c r="D14" s="94">
        <v>132331</v>
      </c>
      <c r="E14" s="94">
        <v>1670</v>
      </c>
      <c r="F14" s="94">
        <v>108511</v>
      </c>
      <c r="G14" s="94">
        <v>2030</v>
      </c>
      <c r="H14" s="94">
        <v>132331</v>
      </c>
      <c r="I14" s="94">
        <v>2030</v>
      </c>
      <c r="J14" s="94">
        <v>132331</v>
      </c>
      <c r="K14" s="94">
        <v>1980</v>
      </c>
      <c r="L14" s="94">
        <v>990</v>
      </c>
    </row>
    <row r="15" spans="1:12" ht="14.25" customHeight="1">
      <c r="A15" s="93">
        <v>4</v>
      </c>
      <c r="B15" s="518" t="s">
        <v>915</v>
      </c>
      <c r="C15" s="94">
        <v>1529</v>
      </c>
      <c r="D15" s="94">
        <v>117595</v>
      </c>
      <c r="E15" s="94">
        <v>1260</v>
      </c>
      <c r="F15" s="94">
        <v>96428</v>
      </c>
      <c r="G15" s="94">
        <v>1529</v>
      </c>
      <c r="H15" s="94">
        <v>117595</v>
      </c>
      <c r="I15" s="94">
        <v>1529</v>
      </c>
      <c r="J15" s="94">
        <v>117595</v>
      </c>
      <c r="K15" s="94">
        <v>54</v>
      </c>
      <c r="L15" s="94">
        <v>27</v>
      </c>
    </row>
    <row r="16" spans="1:12">
      <c r="A16" s="93">
        <v>5</v>
      </c>
      <c r="B16" s="518" t="s">
        <v>916</v>
      </c>
      <c r="C16" s="94">
        <v>2254</v>
      </c>
      <c r="D16" s="94">
        <v>124418</v>
      </c>
      <c r="E16" s="94">
        <v>1884</v>
      </c>
      <c r="F16" s="94">
        <v>102023</v>
      </c>
      <c r="G16" s="94">
        <v>2254</v>
      </c>
      <c r="H16" s="94">
        <v>124418</v>
      </c>
      <c r="I16" s="94">
        <v>2254</v>
      </c>
      <c r="J16" s="94">
        <v>124418</v>
      </c>
      <c r="K16" s="94">
        <v>4494</v>
      </c>
      <c r="L16" s="94">
        <v>2247</v>
      </c>
    </row>
    <row r="17" spans="1:12">
      <c r="A17" s="93">
        <v>6</v>
      </c>
      <c r="B17" s="518" t="s">
        <v>917</v>
      </c>
      <c r="C17" s="94">
        <v>1203</v>
      </c>
      <c r="D17" s="94">
        <v>52373</v>
      </c>
      <c r="E17" s="94">
        <v>993</v>
      </c>
      <c r="F17" s="94">
        <v>42946</v>
      </c>
      <c r="G17" s="94">
        <v>1203</v>
      </c>
      <c r="H17" s="94">
        <v>52373</v>
      </c>
      <c r="I17" s="94">
        <v>1203</v>
      </c>
      <c r="J17" s="94">
        <v>52373</v>
      </c>
      <c r="K17" s="94">
        <v>364</v>
      </c>
      <c r="L17" s="94">
        <v>182</v>
      </c>
    </row>
    <row r="18" spans="1:12">
      <c r="A18" s="93">
        <v>7</v>
      </c>
      <c r="B18" s="518" t="s">
        <v>918</v>
      </c>
      <c r="C18" s="94">
        <v>1447</v>
      </c>
      <c r="D18" s="94">
        <v>58181</v>
      </c>
      <c r="E18" s="94">
        <v>1192</v>
      </c>
      <c r="F18" s="94">
        <v>47708</v>
      </c>
      <c r="G18" s="94">
        <v>1447</v>
      </c>
      <c r="H18" s="94">
        <v>58181</v>
      </c>
      <c r="I18" s="94">
        <v>1447</v>
      </c>
      <c r="J18" s="94">
        <v>58181</v>
      </c>
      <c r="K18" s="94">
        <v>608</v>
      </c>
      <c r="L18" s="94">
        <v>304</v>
      </c>
    </row>
    <row r="19" spans="1:12">
      <c r="A19" s="93">
        <v>8</v>
      </c>
      <c r="B19" s="518" t="s">
        <v>919</v>
      </c>
      <c r="C19" s="94">
        <v>2018</v>
      </c>
      <c r="D19" s="94">
        <v>84115</v>
      </c>
      <c r="E19" s="94">
        <v>1683</v>
      </c>
      <c r="F19" s="94">
        <v>68974</v>
      </c>
      <c r="G19" s="94">
        <v>2018</v>
      </c>
      <c r="H19" s="94">
        <v>84115</v>
      </c>
      <c r="I19" s="94">
        <v>2018</v>
      </c>
      <c r="J19" s="94">
        <v>84115</v>
      </c>
      <c r="K19" s="94">
        <v>0</v>
      </c>
      <c r="L19" s="94">
        <v>0</v>
      </c>
    </row>
    <row r="20" spans="1:12">
      <c r="A20" s="93">
        <v>9</v>
      </c>
      <c r="B20" s="518" t="s">
        <v>920</v>
      </c>
      <c r="C20" s="94">
        <v>1636</v>
      </c>
      <c r="D20" s="94">
        <v>69404</v>
      </c>
      <c r="E20" s="94">
        <v>1357</v>
      </c>
      <c r="F20" s="94">
        <v>56911</v>
      </c>
      <c r="G20" s="94">
        <v>1636</v>
      </c>
      <c r="H20" s="94">
        <v>69404</v>
      </c>
      <c r="I20" s="94">
        <v>1636</v>
      </c>
      <c r="J20" s="94">
        <v>69404</v>
      </c>
      <c r="K20" s="94">
        <v>0</v>
      </c>
      <c r="L20" s="94">
        <v>0</v>
      </c>
    </row>
    <row r="21" spans="1:12">
      <c r="A21" s="93">
        <v>10</v>
      </c>
      <c r="B21" s="518" t="s">
        <v>921</v>
      </c>
      <c r="C21" s="94">
        <v>2399</v>
      </c>
      <c r="D21" s="94">
        <v>102097</v>
      </c>
      <c r="E21" s="94">
        <v>2000</v>
      </c>
      <c r="F21" s="94">
        <v>83720</v>
      </c>
      <c r="G21" s="94">
        <v>2399</v>
      </c>
      <c r="H21" s="94">
        <v>102097</v>
      </c>
      <c r="I21" s="94">
        <v>2399</v>
      </c>
      <c r="J21" s="94">
        <v>102097</v>
      </c>
      <c r="K21" s="94">
        <v>126</v>
      </c>
      <c r="L21" s="94">
        <v>63</v>
      </c>
    </row>
    <row r="22" spans="1:12">
      <c r="A22" s="93">
        <v>11</v>
      </c>
      <c r="B22" s="518" t="s">
        <v>922</v>
      </c>
      <c r="C22" s="94">
        <v>1473</v>
      </c>
      <c r="D22" s="94">
        <v>68891</v>
      </c>
      <c r="E22" s="94">
        <v>1210</v>
      </c>
      <c r="F22" s="94">
        <v>56491</v>
      </c>
      <c r="G22" s="94">
        <v>1473</v>
      </c>
      <c r="H22" s="94">
        <v>68891</v>
      </c>
      <c r="I22" s="94">
        <v>1473</v>
      </c>
      <c r="J22" s="94">
        <v>68891</v>
      </c>
      <c r="K22" s="94">
        <v>250</v>
      </c>
      <c r="L22" s="94">
        <v>125</v>
      </c>
    </row>
    <row r="23" spans="1:12">
      <c r="A23" s="93">
        <v>12</v>
      </c>
      <c r="B23" s="518" t="s">
        <v>923</v>
      </c>
      <c r="C23" s="94">
        <v>2379</v>
      </c>
      <c r="D23" s="94">
        <v>169762</v>
      </c>
      <c r="E23" s="94">
        <v>1947</v>
      </c>
      <c r="F23" s="94">
        <v>139205</v>
      </c>
      <c r="G23" s="94">
        <v>2379</v>
      </c>
      <c r="H23" s="94">
        <v>169762</v>
      </c>
      <c r="I23" s="94">
        <v>2379</v>
      </c>
      <c r="J23" s="94">
        <v>169762</v>
      </c>
      <c r="K23" s="94">
        <v>6</v>
      </c>
      <c r="L23" s="94">
        <v>4</v>
      </c>
    </row>
    <row r="24" spans="1:12">
      <c r="A24" s="93">
        <v>13</v>
      </c>
      <c r="B24" s="518" t="s">
        <v>924</v>
      </c>
      <c r="C24" s="94">
        <v>1964</v>
      </c>
      <c r="D24" s="94">
        <v>88919</v>
      </c>
      <c r="E24" s="94">
        <v>1608</v>
      </c>
      <c r="F24" s="94">
        <v>72914</v>
      </c>
      <c r="G24" s="94">
        <v>1964</v>
      </c>
      <c r="H24" s="94">
        <v>88919</v>
      </c>
      <c r="I24" s="94">
        <v>1964</v>
      </c>
      <c r="J24" s="94">
        <v>88919</v>
      </c>
      <c r="K24" s="94">
        <v>896</v>
      </c>
      <c r="L24" s="94">
        <v>490</v>
      </c>
    </row>
    <row r="25" spans="1:12">
      <c r="A25" s="93">
        <v>14</v>
      </c>
      <c r="B25" s="518" t="s">
        <v>925</v>
      </c>
      <c r="C25" s="94">
        <v>926</v>
      </c>
      <c r="D25" s="94">
        <v>64699</v>
      </c>
      <c r="E25" s="94">
        <v>766</v>
      </c>
      <c r="F25" s="94">
        <v>53053</v>
      </c>
      <c r="G25" s="94">
        <v>926</v>
      </c>
      <c r="H25" s="94">
        <v>64699</v>
      </c>
      <c r="I25" s="94">
        <v>926</v>
      </c>
      <c r="J25" s="94">
        <v>64699</v>
      </c>
      <c r="K25" s="94">
        <v>0</v>
      </c>
      <c r="L25" s="94">
        <v>0</v>
      </c>
    </row>
    <row r="26" spans="1:12">
      <c r="A26" s="93">
        <v>15</v>
      </c>
      <c r="B26" s="518" t="s">
        <v>926</v>
      </c>
      <c r="C26" s="94">
        <v>485</v>
      </c>
      <c r="D26" s="94">
        <v>25247</v>
      </c>
      <c r="E26" s="94">
        <v>410</v>
      </c>
      <c r="F26" s="94">
        <v>20703</v>
      </c>
      <c r="G26" s="94">
        <v>485</v>
      </c>
      <c r="H26" s="94">
        <v>25247</v>
      </c>
      <c r="I26" s="94">
        <v>485</v>
      </c>
      <c r="J26" s="94">
        <v>25247</v>
      </c>
      <c r="K26" s="94">
        <v>25</v>
      </c>
      <c r="L26" s="94">
        <v>0</v>
      </c>
    </row>
    <row r="27" spans="1:12">
      <c r="A27" s="93">
        <v>16</v>
      </c>
      <c r="B27" s="518" t="s">
        <v>927</v>
      </c>
      <c r="C27" s="94">
        <v>2641</v>
      </c>
      <c r="D27" s="94">
        <v>91261</v>
      </c>
      <c r="E27" s="94">
        <v>2271</v>
      </c>
      <c r="F27" s="94">
        <v>74834</v>
      </c>
      <c r="G27" s="94">
        <v>2641</v>
      </c>
      <c r="H27" s="94">
        <v>91261</v>
      </c>
      <c r="I27" s="94">
        <v>2641</v>
      </c>
      <c r="J27" s="94">
        <v>91261</v>
      </c>
      <c r="K27" s="94">
        <v>1216</v>
      </c>
      <c r="L27" s="94">
        <v>608</v>
      </c>
    </row>
    <row r="28" spans="1:12">
      <c r="A28" s="93">
        <v>17</v>
      </c>
      <c r="B28" s="518" t="s">
        <v>928</v>
      </c>
      <c r="C28" s="94">
        <v>1580</v>
      </c>
      <c r="D28" s="94">
        <v>64111</v>
      </c>
      <c r="E28" s="94">
        <v>1314</v>
      </c>
      <c r="F28" s="94">
        <v>52571</v>
      </c>
      <c r="G28" s="94">
        <v>1580</v>
      </c>
      <c r="H28" s="94">
        <v>64111</v>
      </c>
      <c r="I28" s="94">
        <v>1580</v>
      </c>
      <c r="J28" s="94">
        <v>64111</v>
      </c>
      <c r="K28" s="94">
        <v>0</v>
      </c>
      <c r="L28" s="94">
        <v>0</v>
      </c>
    </row>
    <row r="29" spans="1:12">
      <c r="A29" s="93">
        <v>18</v>
      </c>
      <c r="B29" s="518" t="s">
        <v>929</v>
      </c>
      <c r="C29" s="94">
        <v>1397</v>
      </c>
      <c r="D29" s="94">
        <v>114219</v>
      </c>
      <c r="E29" s="94">
        <v>1139</v>
      </c>
      <c r="F29" s="94">
        <v>93660</v>
      </c>
      <c r="G29" s="94">
        <v>1397</v>
      </c>
      <c r="H29" s="94">
        <v>114219</v>
      </c>
      <c r="I29" s="94">
        <v>1397</v>
      </c>
      <c r="J29" s="94">
        <v>114219</v>
      </c>
      <c r="K29" s="94">
        <v>1594</v>
      </c>
      <c r="L29" s="94">
        <v>797</v>
      </c>
    </row>
    <row r="30" spans="1:12">
      <c r="A30" s="93">
        <v>19</v>
      </c>
      <c r="B30" s="518" t="s">
        <v>930</v>
      </c>
      <c r="C30" s="94">
        <v>940</v>
      </c>
      <c r="D30" s="94">
        <v>62710</v>
      </c>
      <c r="E30" s="94">
        <v>778</v>
      </c>
      <c r="F30" s="94">
        <v>51422</v>
      </c>
      <c r="G30" s="94">
        <v>940</v>
      </c>
      <c r="H30" s="94">
        <v>62710</v>
      </c>
      <c r="I30" s="94">
        <v>940</v>
      </c>
      <c r="J30" s="94">
        <v>62710</v>
      </c>
      <c r="K30" s="94">
        <v>0</v>
      </c>
      <c r="L30" s="94">
        <v>0</v>
      </c>
    </row>
    <row r="31" spans="1:12">
      <c r="A31" s="93">
        <v>20</v>
      </c>
      <c r="B31" s="518" t="s">
        <v>931</v>
      </c>
      <c r="C31" s="94">
        <v>1081</v>
      </c>
      <c r="D31" s="94">
        <v>157820</v>
      </c>
      <c r="E31" s="94">
        <v>858</v>
      </c>
      <c r="F31" s="94">
        <v>129412</v>
      </c>
      <c r="G31" s="94">
        <v>1081</v>
      </c>
      <c r="H31" s="94">
        <v>157820</v>
      </c>
      <c r="I31" s="94">
        <v>1081</v>
      </c>
      <c r="J31" s="94">
        <v>157820</v>
      </c>
      <c r="K31" s="94">
        <v>1350</v>
      </c>
      <c r="L31" s="94">
        <v>675</v>
      </c>
    </row>
    <row r="32" spans="1:12">
      <c r="A32" s="93">
        <v>21</v>
      </c>
      <c r="B32" s="518" t="s">
        <v>932</v>
      </c>
      <c r="C32" s="94">
        <v>1084</v>
      </c>
      <c r="D32" s="94">
        <v>48612</v>
      </c>
      <c r="E32" s="94">
        <v>924</v>
      </c>
      <c r="F32" s="94">
        <v>39862</v>
      </c>
      <c r="G32" s="94">
        <v>1084</v>
      </c>
      <c r="H32" s="94">
        <v>48612</v>
      </c>
      <c r="I32" s="94">
        <v>1084</v>
      </c>
      <c r="J32" s="94">
        <v>48612</v>
      </c>
      <c r="K32" s="94">
        <v>22</v>
      </c>
      <c r="L32" s="94">
        <v>11</v>
      </c>
    </row>
    <row r="33" spans="1:12">
      <c r="A33" s="93">
        <v>22</v>
      </c>
      <c r="B33" s="518" t="s">
        <v>933</v>
      </c>
      <c r="C33" s="94">
        <v>1260</v>
      </c>
      <c r="D33" s="94">
        <v>71294</v>
      </c>
      <c r="E33" s="94">
        <v>1044</v>
      </c>
      <c r="F33" s="94">
        <v>58461</v>
      </c>
      <c r="G33" s="94">
        <v>1260</v>
      </c>
      <c r="H33" s="94">
        <v>71294</v>
      </c>
      <c r="I33" s="94">
        <v>1260</v>
      </c>
      <c r="J33" s="94">
        <v>71294</v>
      </c>
      <c r="K33" s="94">
        <v>0</v>
      </c>
      <c r="L33" s="94">
        <v>0</v>
      </c>
    </row>
    <row r="34" spans="1:12">
      <c r="A34" s="93">
        <v>23</v>
      </c>
      <c r="B34" s="518" t="s">
        <v>934</v>
      </c>
      <c r="C34" s="94">
        <v>1520</v>
      </c>
      <c r="D34" s="94">
        <v>158779</v>
      </c>
      <c r="E34" s="94">
        <v>1234</v>
      </c>
      <c r="F34" s="94">
        <v>130199</v>
      </c>
      <c r="G34" s="94">
        <v>1520</v>
      </c>
      <c r="H34" s="94">
        <v>158779</v>
      </c>
      <c r="I34" s="94">
        <v>1520</v>
      </c>
      <c r="J34" s="94">
        <v>158779</v>
      </c>
      <c r="K34" s="94">
        <v>1506</v>
      </c>
      <c r="L34" s="94">
        <v>753</v>
      </c>
    </row>
    <row r="35" spans="1:12">
      <c r="A35" s="93">
        <v>24</v>
      </c>
      <c r="B35" s="518" t="s">
        <v>935</v>
      </c>
      <c r="C35" s="94">
        <v>852</v>
      </c>
      <c r="D35" s="94">
        <v>107059</v>
      </c>
      <c r="E35" s="94">
        <v>678</v>
      </c>
      <c r="F35" s="94">
        <v>87788</v>
      </c>
      <c r="G35" s="94">
        <v>852</v>
      </c>
      <c r="H35" s="94">
        <v>107059</v>
      </c>
      <c r="I35" s="94">
        <v>852</v>
      </c>
      <c r="J35" s="94">
        <v>107059</v>
      </c>
      <c r="K35" s="94">
        <v>1500</v>
      </c>
      <c r="L35" s="94">
        <v>750</v>
      </c>
    </row>
    <row r="36" spans="1:12">
      <c r="A36" s="93">
        <v>25</v>
      </c>
      <c r="B36" s="518" t="s">
        <v>936</v>
      </c>
      <c r="C36" s="94">
        <v>1796</v>
      </c>
      <c r="D36" s="94">
        <v>209833</v>
      </c>
      <c r="E36" s="94">
        <v>1460</v>
      </c>
      <c r="F36" s="94">
        <v>172063</v>
      </c>
      <c r="G36" s="94">
        <v>1796</v>
      </c>
      <c r="H36" s="94">
        <v>209833</v>
      </c>
      <c r="I36" s="94">
        <v>1796</v>
      </c>
      <c r="J36" s="94">
        <v>209833</v>
      </c>
      <c r="K36" s="94">
        <v>0</v>
      </c>
      <c r="L36" s="94">
        <v>0</v>
      </c>
    </row>
    <row r="37" spans="1:12">
      <c r="A37" s="93">
        <v>26</v>
      </c>
      <c r="B37" s="518" t="s">
        <v>937</v>
      </c>
      <c r="C37" s="94">
        <v>2248</v>
      </c>
      <c r="D37" s="94">
        <v>285299</v>
      </c>
      <c r="E37" s="94">
        <v>1827</v>
      </c>
      <c r="F37" s="94">
        <v>233945</v>
      </c>
      <c r="G37" s="94">
        <v>2248</v>
      </c>
      <c r="H37" s="94">
        <v>285299</v>
      </c>
      <c r="I37" s="94">
        <v>2248</v>
      </c>
      <c r="J37" s="94">
        <v>285299</v>
      </c>
      <c r="K37" s="94">
        <v>0</v>
      </c>
      <c r="L37" s="94">
        <v>0</v>
      </c>
    </row>
    <row r="38" spans="1:12">
      <c r="A38" s="93">
        <v>27</v>
      </c>
      <c r="B38" s="518" t="s">
        <v>938</v>
      </c>
      <c r="C38" s="94">
        <v>1681</v>
      </c>
      <c r="D38" s="94">
        <v>217645</v>
      </c>
      <c r="E38" s="94">
        <v>1364</v>
      </c>
      <c r="F38" s="94">
        <v>178469</v>
      </c>
      <c r="G38" s="94">
        <v>1681</v>
      </c>
      <c r="H38" s="94">
        <v>217645</v>
      </c>
      <c r="I38" s="94">
        <v>1681</v>
      </c>
      <c r="J38" s="94">
        <v>217645</v>
      </c>
      <c r="K38" s="94">
        <v>2824</v>
      </c>
      <c r="L38" s="94">
        <v>1412</v>
      </c>
    </row>
    <row r="39" spans="1:12">
      <c r="A39" s="93">
        <v>28</v>
      </c>
      <c r="B39" s="518" t="s">
        <v>939</v>
      </c>
      <c r="C39" s="94">
        <v>2325</v>
      </c>
      <c r="D39" s="94">
        <v>270159</v>
      </c>
      <c r="E39" s="94">
        <v>1884</v>
      </c>
      <c r="F39" s="94">
        <v>221530</v>
      </c>
      <c r="G39" s="94">
        <v>2325</v>
      </c>
      <c r="H39" s="94">
        <v>270159</v>
      </c>
      <c r="I39" s="94">
        <v>2325</v>
      </c>
      <c r="J39" s="94">
        <v>270159</v>
      </c>
      <c r="K39" s="94">
        <v>0</v>
      </c>
      <c r="L39" s="94">
        <v>0</v>
      </c>
    </row>
    <row r="40" spans="1:12">
      <c r="A40" s="93">
        <v>29</v>
      </c>
      <c r="B40" s="518" t="s">
        <v>940</v>
      </c>
      <c r="C40" s="94">
        <v>1769</v>
      </c>
      <c r="D40" s="94">
        <v>151266</v>
      </c>
      <c r="E40" s="94">
        <v>1422</v>
      </c>
      <c r="F40" s="94">
        <v>124038</v>
      </c>
      <c r="G40" s="94">
        <v>1769</v>
      </c>
      <c r="H40" s="94">
        <v>151266</v>
      </c>
      <c r="I40" s="94">
        <v>1769</v>
      </c>
      <c r="J40" s="94">
        <v>151266</v>
      </c>
      <c r="K40" s="94">
        <v>3135</v>
      </c>
      <c r="L40" s="94">
        <v>1278</v>
      </c>
    </row>
    <row r="41" spans="1:12">
      <c r="A41" s="93">
        <v>30</v>
      </c>
      <c r="B41" s="518" t="s">
        <v>941</v>
      </c>
      <c r="C41" s="94">
        <v>1996</v>
      </c>
      <c r="D41" s="94">
        <v>272910</v>
      </c>
      <c r="E41" s="94">
        <v>1606</v>
      </c>
      <c r="F41" s="94">
        <v>223786</v>
      </c>
      <c r="G41" s="94">
        <v>1996</v>
      </c>
      <c r="H41" s="94">
        <v>272910</v>
      </c>
      <c r="I41" s="94">
        <v>1996</v>
      </c>
      <c r="J41" s="94">
        <v>272910</v>
      </c>
      <c r="K41" s="94">
        <v>0</v>
      </c>
      <c r="L41" s="94">
        <v>0</v>
      </c>
    </row>
    <row r="42" spans="1:12">
      <c r="A42" s="93">
        <v>31</v>
      </c>
      <c r="B42" s="518" t="s">
        <v>942</v>
      </c>
      <c r="C42" s="94">
        <v>2359</v>
      </c>
      <c r="D42" s="94">
        <v>262789</v>
      </c>
      <c r="E42" s="94">
        <v>1943</v>
      </c>
      <c r="F42" s="94">
        <v>215487</v>
      </c>
      <c r="G42" s="94">
        <v>2359</v>
      </c>
      <c r="H42" s="94">
        <v>262789</v>
      </c>
      <c r="I42" s="94">
        <v>2359</v>
      </c>
      <c r="J42" s="94">
        <v>262789</v>
      </c>
      <c r="K42" s="94">
        <v>0</v>
      </c>
      <c r="L42" s="94">
        <v>0</v>
      </c>
    </row>
    <row r="43" spans="1:12">
      <c r="A43" s="93">
        <v>32</v>
      </c>
      <c r="B43" s="518" t="s">
        <v>943</v>
      </c>
      <c r="C43" s="94">
        <v>1156</v>
      </c>
      <c r="D43" s="94">
        <v>170877</v>
      </c>
      <c r="E43" s="94">
        <v>950</v>
      </c>
      <c r="F43" s="94">
        <v>140119</v>
      </c>
      <c r="G43" s="94">
        <v>1156</v>
      </c>
      <c r="H43" s="94">
        <v>170877</v>
      </c>
      <c r="I43" s="94">
        <v>1156</v>
      </c>
      <c r="J43" s="94">
        <v>170877</v>
      </c>
      <c r="K43" s="94">
        <v>0</v>
      </c>
      <c r="L43" s="94">
        <v>0</v>
      </c>
    </row>
    <row r="44" spans="1:12">
      <c r="A44" s="93">
        <v>33</v>
      </c>
      <c r="B44" s="519" t="s">
        <v>944</v>
      </c>
      <c r="C44" s="94">
        <v>1719</v>
      </c>
      <c r="D44" s="94">
        <v>226492</v>
      </c>
      <c r="E44" s="94">
        <v>1404</v>
      </c>
      <c r="F44" s="94">
        <v>185723</v>
      </c>
      <c r="G44" s="94">
        <v>1719</v>
      </c>
      <c r="H44" s="94">
        <v>226492</v>
      </c>
      <c r="I44" s="94">
        <v>1719</v>
      </c>
      <c r="J44" s="94">
        <v>226492</v>
      </c>
      <c r="K44" s="94">
        <v>1203</v>
      </c>
      <c r="L44" s="94">
        <v>602</v>
      </c>
    </row>
    <row r="45" spans="1:12">
      <c r="A45" s="93">
        <v>34</v>
      </c>
      <c r="B45" s="519" t="s">
        <v>945</v>
      </c>
      <c r="C45" s="94">
        <v>1101</v>
      </c>
      <c r="D45" s="94">
        <v>154342</v>
      </c>
      <c r="E45" s="94">
        <v>903</v>
      </c>
      <c r="F45" s="94">
        <v>126560</v>
      </c>
      <c r="G45" s="94">
        <v>1101</v>
      </c>
      <c r="H45" s="94">
        <v>154342</v>
      </c>
      <c r="I45" s="94">
        <v>1101</v>
      </c>
      <c r="J45" s="94">
        <v>154342</v>
      </c>
      <c r="K45" s="94">
        <v>0</v>
      </c>
      <c r="L45" s="94">
        <v>0</v>
      </c>
    </row>
    <row r="46" spans="1:12">
      <c r="A46" s="90" t="s">
        <v>17</v>
      </c>
      <c r="B46" s="90"/>
      <c r="C46" s="314">
        <f>SUM(C12:C45)</f>
        <v>54361</v>
      </c>
      <c r="D46" s="314">
        <f>SUM(D12:D45)</f>
        <v>4508390</v>
      </c>
      <c r="E46" s="314">
        <f t="shared" ref="E46:F46" si="0">SUM(E12:E45)</f>
        <v>44742</v>
      </c>
      <c r="F46" s="314">
        <f t="shared" si="0"/>
        <v>3696878</v>
      </c>
      <c r="G46" s="314">
        <f>SUM(G12:G45)</f>
        <v>54361</v>
      </c>
      <c r="H46" s="314">
        <f>SUM(H12:H45)</f>
        <v>4508390</v>
      </c>
      <c r="I46" s="314">
        <f>SUM(I12:I45)</f>
        <v>54361</v>
      </c>
      <c r="J46" s="314">
        <f>SUM(J12:J45)</f>
        <v>4508390</v>
      </c>
      <c r="K46" s="314">
        <f t="shared" ref="K46:L46" si="1">SUM(K12:K45)</f>
        <v>23629</v>
      </c>
      <c r="L46" s="314">
        <f t="shared" si="1"/>
        <v>11556</v>
      </c>
    </row>
    <row r="47" spans="1:12">
      <c r="A47" s="95"/>
      <c r="B47" s="95"/>
      <c r="C47" s="86"/>
      <c r="D47" s="86"/>
      <c r="E47" s="86"/>
      <c r="F47" s="86"/>
      <c r="G47" s="86"/>
      <c r="H47" s="86"/>
      <c r="I47" s="86"/>
      <c r="J47" s="86"/>
      <c r="K47" s="86"/>
      <c r="L47" s="86"/>
    </row>
    <row r="48" spans="1:12">
      <c r="A48" s="86"/>
      <c r="B48" s="86"/>
      <c r="C48" s="86"/>
      <c r="D48" s="86"/>
      <c r="E48" s="86"/>
      <c r="F48" s="86"/>
      <c r="G48" s="86"/>
      <c r="H48" s="86"/>
      <c r="I48" s="86"/>
      <c r="J48" s="86"/>
      <c r="K48" s="86"/>
      <c r="L48" s="86"/>
    </row>
    <row r="49" spans="1:11" ht="15.75">
      <c r="C49" s="1018"/>
      <c r="D49" s="1018"/>
      <c r="E49" s="1018"/>
      <c r="F49" s="1018"/>
    </row>
    <row r="50" spans="1:11">
      <c r="A50" s="803" t="s">
        <v>906</v>
      </c>
      <c r="B50" s="803"/>
      <c r="C50" s="803"/>
      <c r="D50" s="367"/>
      <c r="E50" s="367"/>
      <c r="F50" s="367"/>
      <c r="G50" s="367"/>
      <c r="H50" s="804" t="s">
        <v>12</v>
      </c>
      <c r="I50" s="804"/>
      <c r="J50" s="804"/>
      <c r="K50" s="367"/>
    </row>
    <row r="51" spans="1:11">
      <c r="A51" s="804" t="s">
        <v>907</v>
      </c>
      <c r="B51" s="804"/>
      <c r="C51" s="804"/>
      <c r="D51" s="367"/>
      <c r="E51" s="367"/>
      <c r="F51" s="367"/>
      <c r="G51" s="367"/>
      <c r="H51" s="804" t="s">
        <v>13</v>
      </c>
      <c r="I51" s="804"/>
      <c r="J51" s="804"/>
      <c r="K51" s="367"/>
    </row>
    <row r="52" spans="1:11">
      <c r="A52" s="804" t="s">
        <v>908</v>
      </c>
      <c r="B52" s="804"/>
      <c r="C52" s="804"/>
      <c r="D52" s="367"/>
      <c r="E52" s="367"/>
      <c r="F52" s="367"/>
      <c r="G52" s="367"/>
      <c r="H52" s="804" t="s">
        <v>18</v>
      </c>
      <c r="I52" s="804"/>
      <c r="J52" s="804"/>
      <c r="K52" s="367"/>
    </row>
    <row r="53" spans="1:11">
      <c r="A53" s="14" t="s">
        <v>21</v>
      </c>
      <c r="B53" s="14"/>
      <c r="C53" s="14"/>
      <c r="D53" s="14"/>
      <c r="E53" s="14"/>
      <c r="F53" s="14"/>
      <c r="G53" s="495"/>
      <c r="H53" s="803" t="s">
        <v>22</v>
      </c>
      <c r="I53" s="803"/>
      <c r="J53" s="495"/>
      <c r="K53" s="495"/>
    </row>
    <row r="54" spans="1:11">
      <c r="A54" s="14"/>
      <c r="B54" s="495"/>
      <c r="C54" s="495"/>
      <c r="D54" s="495"/>
      <c r="E54" s="495"/>
      <c r="F54" s="495"/>
      <c r="G54" s="495"/>
      <c r="H54" s="495"/>
      <c r="I54" s="495"/>
      <c r="J54" s="495"/>
      <c r="K54" s="495"/>
    </row>
  </sheetData>
  <mergeCells count="22">
    <mergeCell ref="H52:J52"/>
    <mergeCell ref="H53:I53"/>
    <mergeCell ref="K1:L1"/>
    <mergeCell ref="G9:H9"/>
    <mergeCell ref="D9:D10"/>
    <mergeCell ref="E9:F9"/>
    <mergeCell ref="I9:J9"/>
    <mergeCell ref="K9:L9"/>
    <mergeCell ref="K8:L8"/>
    <mergeCell ref="C49:F49"/>
    <mergeCell ref="A50:C50"/>
    <mergeCell ref="H50:J50"/>
    <mergeCell ref="A51:C51"/>
    <mergeCell ref="H51:J51"/>
    <mergeCell ref="A52:C52"/>
    <mergeCell ref="B9:B10"/>
    <mergeCell ref="A9:A10"/>
    <mergeCell ref="C9:C10"/>
    <mergeCell ref="A2:H2"/>
    <mergeCell ref="A3:H3"/>
    <mergeCell ref="A7:B7"/>
    <mergeCell ref="A5:L5"/>
  </mergeCells>
  <printOptions horizontalCentered="1"/>
  <pageMargins left="0.70866141732283472" right="0.70866141732283472" top="0.23622047244094491" bottom="0" header="0.31496062992125984" footer="0.31496062992125984"/>
  <pageSetup paperSize="9" scale="77" orientation="landscape" r:id="rId1"/>
  <colBreaks count="1" manualBreakCount="1">
    <brk id="12" max="37" man="1"/>
  </colBreaks>
</worksheet>
</file>

<file path=xl/worksheets/sheet46.xml><?xml version="1.0" encoding="utf-8"?>
<worksheet xmlns="http://schemas.openxmlformats.org/spreadsheetml/2006/main" xmlns:r="http://schemas.openxmlformats.org/officeDocument/2006/relationships">
  <sheetPr codeName="Sheet46">
    <pageSetUpPr fitToPage="1"/>
  </sheetPr>
  <dimension ref="A1:G53"/>
  <sheetViews>
    <sheetView view="pageBreakPreview" topLeftCell="A28" zoomScaleSheetLayoutView="100" workbookViewId="0">
      <selection activeCell="D32" sqref="D32:E32"/>
    </sheetView>
  </sheetViews>
  <sheetFormatPr defaultColWidth="8.85546875" defaultRowHeight="12.75"/>
  <cols>
    <col min="1" max="1" width="6.5703125" style="86" customWidth="1"/>
    <col min="2" max="2" width="20.42578125" style="86" customWidth="1"/>
    <col min="3" max="3" width="20.5703125" style="86" customWidth="1"/>
    <col min="4" max="4" width="22.28515625" style="86" customWidth="1"/>
    <col min="5" max="5" width="19.42578125" style="86" customWidth="1"/>
    <col min="6" max="6" width="27.42578125" style="86" customWidth="1"/>
    <col min="7" max="16384" width="8.85546875" style="86"/>
  </cols>
  <sheetData>
    <row r="1" spans="1:7" ht="12.75" customHeight="1">
      <c r="D1" s="279"/>
      <c r="E1" s="279"/>
      <c r="F1" s="280" t="s">
        <v>101</v>
      </c>
    </row>
    <row r="2" spans="1:7" ht="15" customHeight="1">
      <c r="B2" s="1043" t="s">
        <v>0</v>
      </c>
      <c r="C2" s="1043"/>
      <c r="D2" s="1043"/>
      <c r="E2" s="1043"/>
      <c r="F2" s="1043"/>
    </row>
    <row r="3" spans="1:7" ht="20.25">
      <c r="B3" s="881" t="s">
        <v>745</v>
      </c>
      <c r="C3" s="881"/>
      <c r="D3" s="881"/>
      <c r="E3" s="881"/>
      <c r="F3" s="881"/>
    </row>
    <row r="4" spans="1:7" ht="11.25" customHeight="1"/>
    <row r="5" spans="1:7">
      <c r="A5" s="1045" t="s">
        <v>445</v>
      </c>
      <c r="B5" s="1045"/>
      <c r="C5" s="1045"/>
      <c r="D5" s="1045"/>
      <c r="E5" s="1045"/>
      <c r="F5" s="1045"/>
    </row>
    <row r="6" spans="1:7" ht="8.4499999999999993" customHeight="1">
      <c r="A6" s="88"/>
      <c r="B6" s="88"/>
      <c r="C6" s="88"/>
      <c r="D6" s="88"/>
      <c r="E6" s="88"/>
      <c r="F6" s="88"/>
    </row>
    <row r="7" spans="1:7" ht="18" customHeight="1">
      <c r="A7" s="850" t="s">
        <v>948</v>
      </c>
      <c r="B7" s="850"/>
    </row>
    <row r="8" spans="1:7" ht="18" hidden="1" customHeight="1">
      <c r="A8" s="89" t="s">
        <v>1</v>
      </c>
    </row>
    <row r="9" spans="1:7" ht="30.6" customHeight="1">
      <c r="A9" s="1041" t="s">
        <v>2</v>
      </c>
      <c r="B9" s="1041" t="s">
        <v>3</v>
      </c>
      <c r="C9" s="1046" t="s">
        <v>441</v>
      </c>
      <c r="D9" s="1047"/>
      <c r="E9" s="1048" t="s">
        <v>444</v>
      </c>
      <c r="F9" s="1048"/>
    </row>
    <row r="10" spans="1:7" s="99" customFormat="1" ht="25.5">
      <c r="A10" s="1041"/>
      <c r="B10" s="1041"/>
      <c r="C10" s="91" t="s">
        <v>442</v>
      </c>
      <c r="D10" s="91" t="s">
        <v>443</v>
      </c>
      <c r="E10" s="91" t="s">
        <v>442</v>
      </c>
      <c r="F10" s="91" t="s">
        <v>443</v>
      </c>
      <c r="G10" s="121"/>
    </row>
    <row r="11" spans="1:7" s="162" customFormat="1">
      <c r="A11" s="324">
        <v>1</v>
      </c>
      <c r="B11" s="324">
        <v>2</v>
      </c>
      <c r="C11" s="324">
        <v>3</v>
      </c>
      <c r="D11" s="324">
        <v>4</v>
      </c>
      <c r="E11" s="324">
        <v>5</v>
      </c>
      <c r="F11" s="324">
        <v>6</v>
      </c>
    </row>
    <row r="12" spans="1:7">
      <c r="A12" s="93">
        <v>1</v>
      </c>
      <c r="B12" s="94" t="s">
        <v>912</v>
      </c>
      <c r="C12" s="94">
        <f>D12</f>
        <v>236</v>
      </c>
      <c r="D12" s="94">
        <f>'AT-3'!C9</f>
        <v>236</v>
      </c>
      <c r="E12" s="94">
        <f>'AT-3'!D9+'AT-3'!E9</f>
        <v>594</v>
      </c>
      <c r="F12" s="94">
        <f>E12</f>
        <v>594</v>
      </c>
    </row>
    <row r="13" spans="1:7">
      <c r="A13" s="93">
        <v>2</v>
      </c>
      <c r="B13" s="94" t="s">
        <v>913</v>
      </c>
      <c r="C13" s="94">
        <f t="shared" ref="C13:C45" si="0">D13</f>
        <v>408</v>
      </c>
      <c r="D13" s="94">
        <f>'AT-3'!C10</f>
        <v>408</v>
      </c>
      <c r="E13" s="94">
        <f>'AT-3'!D10+'AT-3'!E10</f>
        <v>875</v>
      </c>
      <c r="F13" s="94">
        <f t="shared" ref="F13:F45" si="1">E13</f>
        <v>875</v>
      </c>
    </row>
    <row r="14" spans="1:7">
      <c r="A14" s="93">
        <v>3</v>
      </c>
      <c r="B14" s="94" t="s">
        <v>914</v>
      </c>
      <c r="C14" s="94">
        <f t="shared" si="0"/>
        <v>811</v>
      </c>
      <c r="D14" s="94">
        <f>'AT-3'!C11</f>
        <v>811</v>
      </c>
      <c r="E14" s="94">
        <f>'AT-3'!D11+'AT-3'!E11</f>
        <v>1219</v>
      </c>
      <c r="F14" s="94">
        <f t="shared" si="1"/>
        <v>1219</v>
      </c>
    </row>
    <row r="15" spans="1:7">
      <c r="A15" s="93">
        <v>4</v>
      </c>
      <c r="B15" s="94" t="s">
        <v>915</v>
      </c>
      <c r="C15" s="94">
        <f t="shared" si="0"/>
        <v>504</v>
      </c>
      <c r="D15" s="94">
        <f>'AT-3'!C12</f>
        <v>504</v>
      </c>
      <c r="E15" s="94">
        <f>'AT-3'!D12+'AT-3'!E12</f>
        <v>1025</v>
      </c>
      <c r="F15" s="94">
        <f t="shared" si="1"/>
        <v>1025</v>
      </c>
    </row>
    <row r="16" spans="1:7">
      <c r="A16" s="93">
        <v>5</v>
      </c>
      <c r="B16" s="94" t="s">
        <v>916</v>
      </c>
      <c r="C16" s="94">
        <f t="shared" si="0"/>
        <v>910</v>
      </c>
      <c r="D16" s="94">
        <f>'AT-3'!C13</f>
        <v>910</v>
      </c>
      <c r="E16" s="94">
        <f>'AT-3'!D13+'AT-3'!E13</f>
        <v>1344</v>
      </c>
      <c r="F16" s="94">
        <f t="shared" si="1"/>
        <v>1344</v>
      </c>
    </row>
    <row r="17" spans="1:6">
      <c r="A17" s="93">
        <v>6</v>
      </c>
      <c r="B17" s="94" t="s">
        <v>917</v>
      </c>
      <c r="C17" s="94">
        <f t="shared" si="0"/>
        <v>641</v>
      </c>
      <c r="D17" s="94">
        <f>'AT-3'!C14</f>
        <v>641</v>
      </c>
      <c r="E17" s="94">
        <f>'AT-3'!D14+'AT-3'!E14</f>
        <v>562</v>
      </c>
      <c r="F17" s="94">
        <f t="shared" si="1"/>
        <v>562</v>
      </c>
    </row>
    <row r="18" spans="1:6">
      <c r="A18" s="93">
        <v>7</v>
      </c>
      <c r="B18" s="94" t="s">
        <v>918</v>
      </c>
      <c r="C18" s="94">
        <f t="shared" si="0"/>
        <v>792</v>
      </c>
      <c r="D18" s="94">
        <f>'AT-3'!C15</f>
        <v>792</v>
      </c>
      <c r="E18" s="94">
        <f>'AT-3'!D15+'AT-3'!E15</f>
        <v>655</v>
      </c>
      <c r="F18" s="94">
        <f t="shared" si="1"/>
        <v>655</v>
      </c>
    </row>
    <row r="19" spans="1:6">
      <c r="A19" s="93">
        <v>8</v>
      </c>
      <c r="B19" s="94" t="s">
        <v>919</v>
      </c>
      <c r="C19" s="94">
        <f t="shared" si="0"/>
        <v>1173</v>
      </c>
      <c r="D19" s="94">
        <f>'AT-3'!C16</f>
        <v>1173</v>
      </c>
      <c r="E19" s="94">
        <f>'AT-3'!D16+'AT-3'!E16</f>
        <v>845</v>
      </c>
      <c r="F19" s="94">
        <f t="shared" si="1"/>
        <v>845</v>
      </c>
    </row>
    <row r="20" spans="1:6">
      <c r="A20" s="93">
        <v>9</v>
      </c>
      <c r="B20" s="94" t="s">
        <v>920</v>
      </c>
      <c r="C20" s="94">
        <f t="shared" si="0"/>
        <v>911</v>
      </c>
      <c r="D20" s="94">
        <f>'AT-3'!C17</f>
        <v>911</v>
      </c>
      <c r="E20" s="94">
        <f>'AT-3'!D17+'AT-3'!E17</f>
        <v>725</v>
      </c>
      <c r="F20" s="94">
        <f t="shared" si="1"/>
        <v>725</v>
      </c>
    </row>
    <row r="21" spans="1:6">
      <c r="A21" s="93">
        <v>10</v>
      </c>
      <c r="B21" s="94" t="s">
        <v>921</v>
      </c>
      <c r="C21" s="94">
        <f t="shared" si="0"/>
        <v>1269</v>
      </c>
      <c r="D21" s="94">
        <f>'AT-3'!C18</f>
        <v>1269</v>
      </c>
      <c r="E21" s="94">
        <f>'AT-3'!D18+'AT-3'!E18</f>
        <v>1130</v>
      </c>
      <c r="F21" s="94">
        <f t="shared" si="1"/>
        <v>1130</v>
      </c>
    </row>
    <row r="22" spans="1:6">
      <c r="A22" s="93">
        <v>11</v>
      </c>
      <c r="B22" s="94" t="s">
        <v>922</v>
      </c>
      <c r="C22" s="94">
        <f t="shared" si="0"/>
        <v>726</v>
      </c>
      <c r="D22" s="94">
        <f>'AT-3'!C19</f>
        <v>726</v>
      </c>
      <c r="E22" s="94">
        <f>'AT-3'!D19+'AT-3'!E19</f>
        <v>747</v>
      </c>
      <c r="F22" s="94">
        <f t="shared" si="1"/>
        <v>747</v>
      </c>
    </row>
    <row r="23" spans="1:6">
      <c r="A23" s="93">
        <v>12</v>
      </c>
      <c r="B23" s="94" t="s">
        <v>923</v>
      </c>
      <c r="C23" s="94">
        <f t="shared" si="0"/>
        <v>946</v>
      </c>
      <c r="D23" s="94">
        <f>'AT-3'!C20</f>
        <v>946</v>
      </c>
      <c r="E23" s="94">
        <f>'AT-3'!D20+'AT-3'!E20</f>
        <v>1433</v>
      </c>
      <c r="F23" s="94">
        <f t="shared" si="1"/>
        <v>1433</v>
      </c>
    </row>
    <row r="24" spans="1:6">
      <c r="A24" s="93">
        <v>13</v>
      </c>
      <c r="B24" s="94" t="s">
        <v>924</v>
      </c>
      <c r="C24" s="94">
        <f t="shared" si="0"/>
        <v>778</v>
      </c>
      <c r="D24" s="94">
        <f>'AT-3'!C21</f>
        <v>778</v>
      </c>
      <c r="E24" s="94">
        <f>'AT-3'!D21+'AT-3'!E21</f>
        <v>1186</v>
      </c>
      <c r="F24" s="94">
        <f t="shared" si="1"/>
        <v>1186</v>
      </c>
    </row>
    <row r="25" spans="1:6">
      <c r="A25" s="93">
        <v>14</v>
      </c>
      <c r="B25" s="94" t="s">
        <v>925</v>
      </c>
      <c r="C25" s="94">
        <f t="shared" si="0"/>
        <v>341</v>
      </c>
      <c r="D25" s="94">
        <f>'AT-3'!C22</f>
        <v>341</v>
      </c>
      <c r="E25" s="94">
        <f>'AT-3'!D22+'AT-3'!E22</f>
        <v>585</v>
      </c>
      <c r="F25" s="94">
        <f t="shared" si="1"/>
        <v>585</v>
      </c>
    </row>
    <row r="26" spans="1:6">
      <c r="A26" s="93">
        <v>15</v>
      </c>
      <c r="B26" s="94" t="s">
        <v>926</v>
      </c>
      <c r="C26" s="94">
        <f t="shared" si="0"/>
        <v>124</v>
      </c>
      <c r="D26" s="94">
        <f>'AT-3'!C23</f>
        <v>124</v>
      </c>
      <c r="E26" s="94">
        <f>'AT-3'!D23+'AT-3'!E23</f>
        <v>361</v>
      </c>
      <c r="F26" s="94">
        <f t="shared" si="1"/>
        <v>361</v>
      </c>
    </row>
    <row r="27" spans="1:6">
      <c r="A27" s="93">
        <v>16</v>
      </c>
      <c r="B27" s="94" t="s">
        <v>927</v>
      </c>
      <c r="C27" s="94">
        <f t="shared" si="0"/>
        <v>1247</v>
      </c>
      <c r="D27" s="94">
        <f>'AT-3'!C24</f>
        <v>1247</v>
      </c>
      <c r="E27" s="94">
        <f>'AT-3'!D24+'AT-3'!E24</f>
        <v>1394</v>
      </c>
      <c r="F27" s="94">
        <f t="shared" si="1"/>
        <v>1394</v>
      </c>
    </row>
    <row r="28" spans="1:6">
      <c r="A28" s="93">
        <v>17</v>
      </c>
      <c r="B28" s="94" t="s">
        <v>928</v>
      </c>
      <c r="C28" s="94">
        <f t="shared" si="0"/>
        <v>672</v>
      </c>
      <c r="D28" s="94">
        <f>'AT-3'!C25</f>
        <v>672</v>
      </c>
      <c r="E28" s="94">
        <f>'AT-3'!D25+'AT-3'!E25</f>
        <v>908</v>
      </c>
      <c r="F28" s="94">
        <f t="shared" si="1"/>
        <v>908</v>
      </c>
    </row>
    <row r="29" spans="1:6">
      <c r="A29" s="93">
        <v>18</v>
      </c>
      <c r="B29" s="94" t="s">
        <v>929</v>
      </c>
      <c r="C29" s="94">
        <f t="shared" si="0"/>
        <v>254</v>
      </c>
      <c r="D29" s="94">
        <f>'AT-3'!C26</f>
        <v>254</v>
      </c>
      <c r="E29" s="94">
        <f>'AT-3'!D26+'AT-3'!E26</f>
        <v>1143</v>
      </c>
      <c r="F29" s="94">
        <f t="shared" si="1"/>
        <v>1143</v>
      </c>
    </row>
    <row r="30" spans="1:6">
      <c r="A30" s="93">
        <v>19</v>
      </c>
      <c r="B30" s="94" t="s">
        <v>930</v>
      </c>
      <c r="C30" s="94">
        <f t="shared" si="0"/>
        <v>234</v>
      </c>
      <c r="D30" s="94">
        <f>'AT-3'!C27</f>
        <v>234</v>
      </c>
      <c r="E30" s="94">
        <f>'AT-3'!D27+'AT-3'!E27</f>
        <v>706</v>
      </c>
      <c r="F30" s="94">
        <f t="shared" si="1"/>
        <v>706</v>
      </c>
    </row>
    <row r="31" spans="1:6">
      <c r="A31" s="93">
        <v>20</v>
      </c>
      <c r="B31" s="94" t="s">
        <v>931</v>
      </c>
      <c r="C31" s="94">
        <f t="shared" si="0"/>
        <v>226</v>
      </c>
      <c r="D31" s="94">
        <f>'AT-3'!C28</f>
        <v>226</v>
      </c>
      <c r="E31" s="94">
        <f>'AT-3'!D28+'AT-3'!E28</f>
        <v>855</v>
      </c>
      <c r="F31" s="94">
        <f t="shared" si="1"/>
        <v>855</v>
      </c>
    </row>
    <row r="32" spans="1:6">
      <c r="A32" s="93">
        <v>21</v>
      </c>
      <c r="B32" s="94" t="s">
        <v>932</v>
      </c>
      <c r="C32" s="94">
        <f t="shared" si="0"/>
        <v>460</v>
      </c>
      <c r="D32" s="94">
        <f>'AT-3'!C29</f>
        <v>460</v>
      </c>
      <c r="E32" s="94">
        <f>'AT-3'!D29+'AT-3'!E29</f>
        <v>624</v>
      </c>
      <c r="F32" s="94">
        <f t="shared" si="1"/>
        <v>624</v>
      </c>
    </row>
    <row r="33" spans="1:6">
      <c r="A33" s="93">
        <v>22</v>
      </c>
      <c r="B33" s="94" t="s">
        <v>933</v>
      </c>
      <c r="C33" s="94">
        <f t="shared" si="0"/>
        <v>612</v>
      </c>
      <c r="D33" s="94">
        <f>'AT-3'!C30</f>
        <v>612</v>
      </c>
      <c r="E33" s="94">
        <f>'AT-3'!D30+'AT-3'!E30</f>
        <v>648</v>
      </c>
      <c r="F33" s="94">
        <f t="shared" si="1"/>
        <v>648</v>
      </c>
    </row>
    <row r="34" spans="1:6">
      <c r="A34" s="93">
        <v>23</v>
      </c>
      <c r="B34" s="94" t="s">
        <v>934</v>
      </c>
      <c r="C34" s="94">
        <f t="shared" si="0"/>
        <v>455</v>
      </c>
      <c r="D34" s="94">
        <f>'AT-3'!C31</f>
        <v>455</v>
      </c>
      <c r="E34" s="94">
        <f>'AT-3'!D31+'AT-3'!E31</f>
        <v>1065</v>
      </c>
      <c r="F34" s="94">
        <f t="shared" si="1"/>
        <v>1065</v>
      </c>
    </row>
    <row r="35" spans="1:6">
      <c r="A35" s="93">
        <v>24</v>
      </c>
      <c r="B35" s="94" t="s">
        <v>935</v>
      </c>
      <c r="C35" s="94">
        <f t="shared" si="0"/>
        <v>190</v>
      </c>
      <c r="D35" s="94">
        <f>'AT-3'!C32</f>
        <v>190</v>
      </c>
      <c r="E35" s="94">
        <f>'AT-3'!D32+'AT-3'!E32</f>
        <v>662</v>
      </c>
      <c r="F35" s="94">
        <f t="shared" si="1"/>
        <v>662</v>
      </c>
    </row>
    <row r="36" spans="1:6">
      <c r="A36" s="93">
        <v>25</v>
      </c>
      <c r="B36" s="94" t="s">
        <v>936</v>
      </c>
      <c r="C36" s="94">
        <f t="shared" si="0"/>
        <v>551</v>
      </c>
      <c r="D36" s="94">
        <f>'AT-3'!C33</f>
        <v>551</v>
      </c>
      <c r="E36" s="94">
        <f>'AT-3'!D33+'AT-3'!E33</f>
        <v>1245</v>
      </c>
      <c r="F36" s="94">
        <f t="shared" si="1"/>
        <v>1245</v>
      </c>
    </row>
    <row r="37" spans="1:6">
      <c r="A37" s="93">
        <v>26</v>
      </c>
      <c r="B37" s="94" t="s">
        <v>937</v>
      </c>
      <c r="C37" s="94">
        <f t="shared" si="0"/>
        <v>742</v>
      </c>
      <c r="D37" s="94">
        <f>'AT-3'!C34</f>
        <v>742</v>
      </c>
      <c r="E37" s="94">
        <f>'AT-3'!D34+'AT-3'!E34</f>
        <v>1506</v>
      </c>
      <c r="F37" s="94">
        <f t="shared" si="1"/>
        <v>1506</v>
      </c>
    </row>
    <row r="38" spans="1:6">
      <c r="A38" s="93">
        <v>27</v>
      </c>
      <c r="B38" s="94" t="s">
        <v>938</v>
      </c>
      <c r="C38" s="94">
        <f t="shared" si="0"/>
        <v>470</v>
      </c>
      <c r="D38" s="94">
        <f>'AT-3'!C35</f>
        <v>470</v>
      </c>
      <c r="E38" s="94">
        <f>'AT-3'!D35+'AT-3'!E35</f>
        <v>1211</v>
      </c>
      <c r="F38" s="94">
        <f t="shared" si="1"/>
        <v>1211</v>
      </c>
    </row>
    <row r="39" spans="1:6">
      <c r="A39" s="93">
        <v>28</v>
      </c>
      <c r="B39" s="94" t="s">
        <v>939</v>
      </c>
      <c r="C39" s="94">
        <f t="shared" si="0"/>
        <v>857</v>
      </c>
      <c r="D39" s="94">
        <f>'AT-3'!C36</f>
        <v>857</v>
      </c>
      <c r="E39" s="94">
        <f>'AT-3'!D36+'AT-3'!E36</f>
        <v>1468</v>
      </c>
      <c r="F39" s="94">
        <f t="shared" si="1"/>
        <v>1468</v>
      </c>
    </row>
    <row r="40" spans="1:6">
      <c r="A40" s="93">
        <v>29</v>
      </c>
      <c r="B40" s="94" t="s">
        <v>940</v>
      </c>
      <c r="C40" s="94">
        <f t="shared" si="0"/>
        <v>535</v>
      </c>
      <c r="D40" s="94">
        <f>'AT-3'!C37</f>
        <v>535</v>
      </c>
      <c r="E40" s="94">
        <f>'AT-3'!D37+'AT-3'!E37</f>
        <v>1234</v>
      </c>
      <c r="F40" s="94">
        <f t="shared" si="1"/>
        <v>1234</v>
      </c>
    </row>
    <row r="41" spans="1:6">
      <c r="A41" s="93">
        <v>30</v>
      </c>
      <c r="B41" s="94" t="s">
        <v>941</v>
      </c>
      <c r="C41" s="94">
        <f t="shared" si="0"/>
        <v>639</v>
      </c>
      <c r="D41" s="94">
        <f>'AT-3'!C38</f>
        <v>639</v>
      </c>
      <c r="E41" s="94">
        <f>'AT-3'!D38+'AT-3'!E38</f>
        <v>1357</v>
      </c>
      <c r="F41" s="94">
        <f t="shared" si="1"/>
        <v>1357</v>
      </c>
    </row>
    <row r="42" spans="1:6">
      <c r="A42" s="93">
        <v>31</v>
      </c>
      <c r="B42" s="94" t="s">
        <v>942</v>
      </c>
      <c r="C42" s="94">
        <f t="shared" si="0"/>
        <v>788</v>
      </c>
      <c r="D42" s="94">
        <f>'AT-3'!C39</f>
        <v>788</v>
      </c>
      <c r="E42" s="94">
        <f>'AT-3'!D39+'AT-3'!E39</f>
        <v>1571</v>
      </c>
      <c r="F42" s="94">
        <f t="shared" si="1"/>
        <v>1571</v>
      </c>
    </row>
    <row r="43" spans="1:6">
      <c r="A43" s="93">
        <v>32</v>
      </c>
      <c r="B43" s="94" t="s">
        <v>943</v>
      </c>
      <c r="C43" s="94">
        <f t="shared" si="0"/>
        <v>385</v>
      </c>
      <c r="D43" s="94">
        <f>'AT-3'!C40</f>
        <v>385</v>
      </c>
      <c r="E43" s="94">
        <f>'AT-3'!D40+'AT-3'!E40</f>
        <v>771</v>
      </c>
      <c r="F43" s="94">
        <f t="shared" si="1"/>
        <v>771</v>
      </c>
    </row>
    <row r="44" spans="1:6">
      <c r="A44" s="93">
        <v>33</v>
      </c>
      <c r="B44" s="94" t="s">
        <v>944</v>
      </c>
      <c r="C44" s="94">
        <f t="shared" si="0"/>
        <v>679</v>
      </c>
      <c r="D44" s="94">
        <f>'AT-3'!C41</f>
        <v>679</v>
      </c>
      <c r="E44" s="94">
        <f>'AT-3'!D41+'AT-3'!E41</f>
        <v>1040</v>
      </c>
      <c r="F44" s="94">
        <f t="shared" si="1"/>
        <v>1040</v>
      </c>
    </row>
    <row r="45" spans="1:6">
      <c r="A45" s="93">
        <v>34</v>
      </c>
      <c r="B45" s="94" t="s">
        <v>945</v>
      </c>
      <c r="C45" s="94">
        <f t="shared" si="0"/>
        <v>461</v>
      </c>
      <c r="D45" s="94">
        <f>'AT-3'!C42</f>
        <v>461</v>
      </c>
      <c r="E45" s="94">
        <f>'AT-3'!D42+'AT-3'!E42</f>
        <v>640</v>
      </c>
      <c r="F45" s="94">
        <f t="shared" si="1"/>
        <v>640</v>
      </c>
    </row>
    <row r="46" spans="1:6">
      <c r="A46" s="90" t="s">
        <v>17</v>
      </c>
      <c r="B46" s="314"/>
      <c r="C46" s="314">
        <f>SUM(C12:C45)</f>
        <v>21027</v>
      </c>
      <c r="D46" s="314">
        <f>SUM(D12:D45)</f>
        <v>21027</v>
      </c>
      <c r="E46" s="314">
        <f>SUM(E12:E45)</f>
        <v>33334</v>
      </c>
      <c r="F46" s="314">
        <f>SUM(F12:F45)</f>
        <v>33334</v>
      </c>
    </row>
    <row r="47" spans="1:6">
      <c r="A47" s="96"/>
      <c r="B47" s="97"/>
      <c r="C47" s="97"/>
      <c r="D47" s="97"/>
      <c r="E47" s="97"/>
      <c r="F47" s="97"/>
    </row>
    <row r="48" spans="1:6">
      <c r="C48" s="86" t="s">
        <v>10</v>
      </c>
    </row>
    <row r="49" spans="1:6" ht="15.75" customHeight="1">
      <c r="C49" s="86" t="s">
        <v>10</v>
      </c>
    </row>
    <row r="50" spans="1:6" ht="15.6" customHeight="1">
      <c r="A50" s="803" t="s">
        <v>906</v>
      </c>
      <c r="B50" s="803"/>
      <c r="C50" s="803"/>
      <c r="D50"/>
      <c r="E50" s="462" t="s">
        <v>12</v>
      </c>
      <c r="F50"/>
    </row>
    <row r="51" spans="1:6" ht="15.75" customHeight="1">
      <c r="A51" s="804" t="s">
        <v>907</v>
      </c>
      <c r="B51" s="804"/>
      <c r="C51" s="804"/>
      <c r="D51" s="901" t="s">
        <v>13</v>
      </c>
      <c r="E51" s="901"/>
      <c r="F51" s="901"/>
    </row>
    <row r="52" spans="1:6">
      <c r="A52" s="804" t="s">
        <v>908</v>
      </c>
      <c r="B52" s="804"/>
      <c r="C52" s="804"/>
      <c r="D52" s="901" t="s">
        <v>87</v>
      </c>
      <c r="E52" s="901"/>
      <c r="F52" s="901"/>
    </row>
    <row r="53" spans="1:6">
      <c r="A53" s="99" t="s">
        <v>984</v>
      </c>
      <c r="D53"/>
      <c r="E53" s="463" t="s">
        <v>84</v>
      </c>
      <c r="F53"/>
    </row>
  </sheetData>
  <mergeCells count="13">
    <mergeCell ref="A50:C50"/>
    <mergeCell ref="A51:C51"/>
    <mergeCell ref="D51:F51"/>
    <mergeCell ref="A52:C52"/>
    <mergeCell ref="D52:F52"/>
    <mergeCell ref="B3:F3"/>
    <mergeCell ref="B2:F2"/>
    <mergeCell ref="A5:F5"/>
    <mergeCell ref="C9:D9"/>
    <mergeCell ref="E9:F9"/>
    <mergeCell ref="A9:A10"/>
    <mergeCell ref="B9:B10"/>
    <mergeCell ref="A7:B7"/>
  </mergeCells>
  <phoneticPr fontId="0" type="noConversion"/>
  <printOptions horizontalCentered="1"/>
  <pageMargins left="0.70866141732283472" right="0.70866141732283472" top="0.23622047244094491" bottom="0" header="0.31496062992125984" footer="0.31496062992125984"/>
  <pageSetup paperSize="9" scale="83" orientation="landscape" r:id="rId1"/>
</worksheet>
</file>

<file path=xl/worksheets/sheet47.xml><?xml version="1.0" encoding="utf-8"?>
<worksheet xmlns="http://schemas.openxmlformats.org/spreadsheetml/2006/main" xmlns:r="http://schemas.openxmlformats.org/officeDocument/2006/relationships">
  <sheetPr codeName="Sheet47">
    <pageSetUpPr fitToPage="1"/>
  </sheetPr>
  <dimension ref="A1:M59"/>
  <sheetViews>
    <sheetView view="pageBreakPreview" topLeftCell="A37" zoomScaleNormal="85" zoomScaleSheetLayoutView="100" workbookViewId="0">
      <selection activeCell="C44" sqref="C44:J44"/>
    </sheetView>
  </sheetViews>
  <sheetFormatPr defaultRowHeight="12.75"/>
  <cols>
    <col min="2" max="2" width="19.4257812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c r="A1" s="86"/>
      <c r="B1" s="86"/>
      <c r="C1" s="86"/>
      <c r="D1" s="962"/>
      <c r="E1" s="962"/>
      <c r="F1" s="38"/>
      <c r="G1" s="962" t="s">
        <v>447</v>
      </c>
      <c r="H1" s="962"/>
      <c r="I1" s="962"/>
      <c r="J1" s="962"/>
      <c r="K1" s="100"/>
      <c r="L1" s="86"/>
      <c r="M1" s="86"/>
    </row>
    <row r="2" spans="1:13" ht="15.75">
      <c r="A2" s="1043" t="s">
        <v>0</v>
      </c>
      <c r="B2" s="1043"/>
      <c r="C2" s="1043"/>
      <c r="D2" s="1043"/>
      <c r="E2" s="1043"/>
      <c r="F2" s="1043"/>
      <c r="G2" s="1043"/>
      <c r="H2" s="1043"/>
      <c r="I2" s="1043"/>
      <c r="J2" s="1043"/>
      <c r="K2" s="86"/>
      <c r="L2" s="86"/>
      <c r="M2" s="86"/>
    </row>
    <row r="3" spans="1:13" ht="18">
      <c r="A3" s="129"/>
      <c r="B3" s="129"/>
      <c r="C3" s="1057" t="s">
        <v>745</v>
      </c>
      <c r="D3" s="1057"/>
      <c r="E3" s="1057"/>
      <c r="F3" s="1057"/>
      <c r="G3" s="1057"/>
      <c r="H3" s="1057"/>
      <c r="I3" s="1057"/>
      <c r="J3" s="129"/>
      <c r="K3" s="86"/>
      <c r="L3" s="86"/>
      <c r="M3" s="86"/>
    </row>
    <row r="4" spans="1:13" ht="15.75">
      <c r="A4" s="882" t="s">
        <v>446</v>
      </c>
      <c r="B4" s="882"/>
      <c r="C4" s="882"/>
      <c r="D4" s="882"/>
      <c r="E4" s="882"/>
      <c r="F4" s="882"/>
      <c r="G4" s="882"/>
      <c r="H4" s="882"/>
      <c r="I4" s="882"/>
      <c r="J4" s="882"/>
      <c r="K4" s="86"/>
      <c r="L4" s="86"/>
      <c r="M4" s="86"/>
    </row>
    <row r="5" spans="1:13" ht="15.75">
      <c r="A5" s="850" t="s">
        <v>162</v>
      </c>
      <c r="B5" s="850"/>
      <c r="C5" s="88"/>
      <c r="D5" s="88"/>
      <c r="E5" s="88"/>
      <c r="F5" s="88"/>
      <c r="G5" s="88"/>
      <c r="H5" s="88"/>
      <c r="I5" s="88"/>
      <c r="J5" s="88"/>
      <c r="K5" s="86"/>
      <c r="L5" s="86"/>
      <c r="M5" s="86"/>
    </row>
    <row r="6" spans="1:13">
      <c r="A6" s="86"/>
      <c r="B6" s="86"/>
      <c r="C6" s="86"/>
      <c r="D6" s="86"/>
      <c r="E6" s="86"/>
      <c r="F6" s="86"/>
      <c r="G6" s="86"/>
      <c r="H6" s="86"/>
      <c r="I6" s="86"/>
      <c r="J6" s="86"/>
      <c r="K6" s="86"/>
      <c r="L6" s="86"/>
      <c r="M6" s="86"/>
    </row>
    <row r="7" spans="1:13" ht="18">
      <c r="A7" s="89"/>
      <c r="B7" s="86"/>
      <c r="C7" s="86"/>
      <c r="D7" s="86"/>
      <c r="E7" s="86"/>
      <c r="F7" s="86"/>
      <c r="G7" s="86"/>
      <c r="H7" s="86"/>
      <c r="I7" s="86"/>
      <c r="J7" s="86"/>
      <c r="K7" s="86"/>
      <c r="L7" s="86"/>
      <c r="M7" s="86"/>
    </row>
    <row r="8" spans="1:13" ht="21.75" customHeight="1">
      <c r="A8" s="1052" t="s">
        <v>2</v>
      </c>
      <c r="B8" s="1052" t="s">
        <v>3</v>
      </c>
      <c r="C8" s="1054" t="s">
        <v>140</v>
      </c>
      <c r="D8" s="1055"/>
      <c r="E8" s="1055"/>
      <c r="F8" s="1055"/>
      <c r="G8" s="1055"/>
      <c r="H8" s="1055"/>
      <c r="I8" s="1055"/>
      <c r="J8" s="1056"/>
      <c r="K8" s="86"/>
      <c r="L8" s="86"/>
      <c r="M8" s="86"/>
    </row>
    <row r="9" spans="1:13" ht="39.75" customHeight="1">
      <c r="A9" s="1053"/>
      <c r="B9" s="1053"/>
      <c r="C9" s="91" t="s">
        <v>196</v>
      </c>
      <c r="D9" s="91" t="s">
        <v>120</v>
      </c>
      <c r="E9" s="91" t="s">
        <v>386</v>
      </c>
      <c r="F9" s="135" t="s">
        <v>166</v>
      </c>
      <c r="G9" s="135" t="s">
        <v>121</v>
      </c>
      <c r="H9" s="154" t="s">
        <v>195</v>
      </c>
      <c r="I9" s="154" t="s">
        <v>714</v>
      </c>
      <c r="J9" s="92" t="s">
        <v>17</v>
      </c>
      <c r="K9" s="99"/>
      <c r="L9" s="99"/>
      <c r="M9" s="99"/>
    </row>
    <row r="10" spans="1:13" s="14" customFormat="1">
      <c r="A10" s="325">
        <v>1</v>
      </c>
      <c r="B10" s="325">
        <v>2</v>
      </c>
      <c r="C10" s="325">
        <v>3</v>
      </c>
      <c r="D10" s="325">
        <v>4</v>
      </c>
      <c r="E10" s="325">
        <v>5</v>
      </c>
      <c r="F10" s="325">
        <v>6</v>
      </c>
      <c r="G10" s="325">
        <v>7</v>
      </c>
      <c r="H10" s="326">
        <v>8</v>
      </c>
      <c r="I10" s="326">
        <v>9</v>
      </c>
      <c r="J10" s="327">
        <v>10</v>
      </c>
      <c r="K10" s="99"/>
      <c r="L10" s="99"/>
      <c r="M10" s="99"/>
    </row>
    <row r="11" spans="1:13" s="14" customFormat="1" ht="14.25">
      <c r="A11" s="93">
        <v>1</v>
      </c>
      <c r="B11" s="94" t="s">
        <v>912</v>
      </c>
      <c r="C11" s="325">
        <v>0</v>
      </c>
      <c r="D11" s="325">
        <v>0</v>
      </c>
      <c r="E11" s="325">
        <f>J11-G11-H11</f>
        <v>0</v>
      </c>
      <c r="F11" s="325">
        <v>0</v>
      </c>
      <c r="G11" s="631">
        <v>830</v>
      </c>
      <c r="H11" s="633">
        <v>0</v>
      </c>
      <c r="I11" s="633">
        <v>0</v>
      </c>
      <c r="J11" s="327">
        <v>830</v>
      </c>
      <c r="K11" s="99"/>
      <c r="L11" s="99"/>
      <c r="M11" s="99"/>
    </row>
    <row r="12" spans="1:13" s="14" customFormat="1" ht="14.25">
      <c r="A12" s="93">
        <v>2</v>
      </c>
      <c r="B12" s="94" t="s">
        <v>913</v>
      </c>
      <c r="C12" s="325">
        <v>0</v>
      </c>
      <c r="D12" s="325">
        <v>0</v>
      </c>
      <c r="E12" s="677">
        <f t="shared" ref="E12:E44" si="0">J12-G12-H12</f>
        <v>112</v>
      </c>
      <c r="F12" s="325">
        <v>0</v>
      </c>
      <c r="G12" s="631">
        <v>1171</v>
      </c>
      <c r="H12" s="633">
        <v>0</v>
      </c>
      <c r="I12" s="633">
        <v>0</v>
      </c>
      <c r="J12" s="327">
        <v>1283</v>
      </c>
      <c r="K12" s="99"/>
      <c r="L12" s="99"/>
      <c r="M12" s="99"/>
    </row>
    <row r="13" spans="1:13" s="14" customFormat="1" ht="14.25">
      <c r="A13" s="93">
        <v>3</v>
      </c>
      <c r="B13" s="94" t="s">
        <v>914</v>
      </c>
      <c r="C13" s="325">
        <v>0</v>
      </c>
      <c r="D13" s="325">
        <v>0</v>
      </c>
      <c r="E13" s="677">
        <f t="shared" si="0"/>
        <v>2030</v>
      </c>
      <c r="F13" s="325">
        <v>0</v>
      </c>
      <c r="G13" s="631">
        <v>0</v>
      </c>
      <c r="H13" s="633">
        <v>0</v>
      </c>
      <c r="I13" s="633">
        <v>0</v>
      </c>
      <c r="J13" s="327">
        <v>2030</v>
      </c>
      <c r="K13" s="99"/>
      <c r="L13" s="99"/>
      <c r="M13" s="99"/>
    </row>
    <row r="14" spans="1:13" s="14" customFormat="1" ht="14.25">
      <c r="A14" s="93">
        <v>4</v>
      </c>
      <c r="B14" s="94" t="s">
        <v>915</v>
      </c>
      <c r="C14" s="325">
        <v>0</v>
      </c>
      <c r="D14" s="325">
        <v>0</v>
      </c>
      <c r="E14" s="677">
        <f t="shared" si="0"/>
        <v>1529</v>
      </c>
      <c r="F14" s="325">
        <v>0</v>
      </c>
      <c r="G14" s="631">
        <v>0</v>
      </c>
      <c r="H14" s="633">
        <v>0</v>
      </c>
      <c r="I14" s="633">
        <v>0</v>
      </c>
      <c r="J14" s="327">
        <v>1529</v>
      </c>
      <c r="K14" s="99"/>
      <c r="L14" s="99"/>
      <c r="M14" s="99"/>
    </row>
    <row r="15" spans="1:13" s="14" customFormat="1" ht="14.25">
      <c r="A15" s="93">
        <v>5</v>
      </c>
      <c r="B15" s="94" t="s">
        <v>916</v>
      </c>
      <c r="C15" s="325">
        <v>0</v>
      </c>
      <c r="D15" s="325">
        <v>0</v>
      </c>
      <c r="E15" s="677">
        <f t="shared" si="0"/>
        <v>2254</v>
      </c>
      <c r="F15" s="325">
        <v>0</v>
      </c>
      <c r="G15" s="631">
        <v>0</v>
      </c>
      <c r="H15" s="633">
        <v>0</v>
      </c>
      <c r="I15" s="633">
        <v>0</v>
      </c>
      <c r="J15" s="327">
        <v>2254</v>
      </c>
      <c r="K15" s="99"/>
      <c r="L15" s="99"/>
      <c r="M15" s="99"/>
    </row>
    <row r="16" spans="1:13" s="14" customFormat="1" ht="14.25">
      <c r="A16" s="93">
        <v>6</v>
      </c>
      <c r="B16" s="94" t="s">
        <v>917</v>
      </c>
      <c r="C16" s="325">
        <v>0</v>
      </c>
      <c r="D16" s="325">
        <v>0</v>
      </c>
      <c r="E16" s="677">
        <f t="shared" si="0"/>
        <v>1203</v>
      </c>
      <c r="F16" s="325">
        <v>0</v>
      </c>
      <c r="G16" s="631">
        <v>0</v>
      </c>
      <c r="H16" s="633">
        <v>0</v>
      </c>
      <c r="I16" s="633">
        <v>0</v>
      </c>
      <c r="J16" s="327">
        <v>1203</v>
      </c>
      <c r="K16" s="99"/>
      <c r="L16" s="99"/>
      <c r="M16" s="99"/>
    </row>
    <row r="17" spans="1:13" s="14" customFormat="1" ht="14.25">
      <c r="A17" s="93">
        <v>7</v>
      </c>
      <c r="B17" s="94" t="s">
        <v>918</v>
      </c>
      <c r="C17" s="325">
        <v>0</v>
      </c>
      <c r="D17" s="325">
        <v>0</v>
      </c>
      <c r="E17" s="677">
        <f t="shared" si="0"/>
        <v>1427</v>
      </c>
      <c r="F17" s="325">
        <v>0</v>
      </c>
      <c r="G17" s="631">
        <v>20</v>
      </c>
      <c r="H17" s="633">
        <v>0</v>
      </c>
      <c r="I17" s="633">
        <v>0</v>
      </c>
      <c r="J17" s="327">
        <v>1447</v>
      </c>
      <c r="K17" s="99"/>
      <c r="L17" s="99"/>
      <c r="M17" s="99"/>
    </row>
    <row r="18" spans="1:13" s="14" customFormat="1" ht="14.25">
      <c r="A18" s="93">
        <v>8</v>
      </c>
      <c r="B18" s="94" t="s">
        <v>919</v>
      </c>
      <c r="C18" s="325">
        <v>0</v>
      </c>
      <c r="D18" s="325">
        <v>0</v>
      </c>
      <c r="E18" s="677">
        <f t="shared" si="0"/>
        <v>2018</v>
      </c>
      <c r="F18" s="325">
        <v>0</v>
      </c>
      <c r="G18" s="631">
        <v>0</v>
      </c>
      <c r="H18" s="633">
        <v>0</v>
      </c>
      <c r="I18" s="633">
        <v>0</v>
      </c>
      <c r="J18" s="327">
        <v>2018</v>
      </c>
      <c r="K18" s="99"/>
      <c r="L18" s="99"/>
      <c r="M18" s="99"/>
    </row>
    <row r="19" spans="1:13" s="14" customFormat="1" ht="14.25">
      <c r="A19" s="93">
        <v>9</v>
      </c>
      <c r="B19" s="94" t="s">
        <v>920</v>
      </c>
      <c r="C19" s="325">
        <v>0</v>
      </c>
      <c r="D19" s="325">
        <v>0</v>
      </c>
      <c r="E19" s="677">
        <f t="shared" si="0"/>
        <v>1636</v>
      </c>
      <c r="F19" s="325">
        <v>0</v>
      </c>
      <c r="G19" s="631">
        <v>0</v>
      </c>
      <c r="H19" s="633">
        <v>0</v>
      </c>
      <c r="I19" s="633">
        <v>0</v>
      </c>
      <c r="J19" s="327">
        <v>1636</v>
      </c>
      <c r="K19" s="99"/>
      <c r="L19" s="99"/>
      <c r="M19" s="99"/>
    </row>
    <row r="20" spans="1:13" s="14" customFormat="1" ht="14.25">
      <c r="A20" s="93">
        <v>10</v>
      </c>
      <c r="B20" s="94" t="s">
        <v>921</v>
      </c>
      <c r="C20" s="325">
        <v>0</v>
      </c>
      <c r="D20" s="325">
        <v>0</v>
      </c>
      <c r="E20" s="677">
        <f t="shared" si="0"/>
        <v>2399</v>
      </c>
      <c r="F20" s="325">
        <v>0</v>
      </c>
      <c r="G20" s="631">
        <v>0</v>
      </c>
      <c r="H20" s="633">
        <v>0</v>
      </c>
      <c r="I20" s="633">
        <v>0</v>
      </c>
      <c r="J20" s="327">
        <v>2399</v>
      </c>
      <c r="K20" s="99"/>
      <c r="L20" s="99"/>
      <c r="M20" s="99"/>
    </row>
    <row r="21" spans="1:13" s="14" customFormat="1" ht="14.25">
      <c r="A21" s="93">
        <v>11</v>
      </c>
      <c r="B21" s="94" t="s">
        <v>922</v>
      </c>
      <c r="C21" s="325">
        <v>0</v>
      </c>
      <c r="D21" s="325">
        <v>0</v>
      </c>
      <c r="E21" s="677">
        <f t="shared" si="0"/>
        <v>1473</v>
      </c>
      <c r="F21" s="325">
        <v>0</v>
      </c>
      <c r="G21" s="631">
        <v>0</v>
      </c>
      <c r="H21" s="633">
        <v>0</v>
      </c>
      <c r="I21" s="633">
        <v>0</v>
      </c>
      <c r="J21" s="327">
        <v>1473</v>
      </c>
      <c r="K21" s="99"/>
      <c r="L21" s="99"/>
      <c r="M21" s="99"/>
    </row>
    <row r="22" spans="1:13" s="14" customFormat="1" ht="14.25">
      <c r="A22" s="93">
        <v>12</v>
      </c>
      <c r="B22" s="94" t="s">
        <v>923</v>
      </c>
      <c r="C22" s="325">
        <v>0</v>
      </c>
      <c r="D22" s="325">
        <v>0</v>
      </c>
      <c r="E22" s="677">
        <f t="shared" si="0"/>
        <v>2220</v>
      </c>
      <c r="F22" s="325">
        <v>0</v>
      </c>
      <c r="G22" s="631">
        <v>159</v>
      </c>
      <c r="H22" s="633">
        <v>0</v>
      </c>
      <c r="I22" s="633">
        <v>0</v>
      </c>
      <c r="J22" s="327">
        <v>2379</v>
      </c>
      <c r="K22" s="99"/>
      <c r="L22" s="99"/>
      <c r="M22" s="99"/>
    </row>
    <row r="23" spans="1:13" s="14" customFormat="1" ht="14.25">
      <c r="A23" s="93">
        <v>13</v>
      </c>
      <c r="B23" s="94" t="s">
        <v>924</v>
      </c>
      <c r="C23" s="325">
        <v>0</v>
      </c>
      <c r="D23" s="325">
        <v>0</v>
      </c>
      <c r="E23" s="677">
        <f t="shared" si="0"/>
        <v>1964</v>
      </c>
      <c r="F23" s="325">
        <v>0</v>
      </c>
      <c r="G23" s="631">
        <v>0</v>
      </c>
      <c r="H23" s="633">
        <v>0</v>
      </c>
      <c r="I23" s="633">
        <v>0</v>
      </c>
      <c r="J23" s="327">
        <v>1964</v>
      </c>
      <c r="K23" s="99"/>
      <c r="L23" s="99"/>
      <c r="M23" s="99"/>
    </row>
    <row r="24" spans="1:13" s="14" customFormat="1" ht="14.25">
      <c r="A24" s="93">
        <v>14</v>
      </c>
      <c r="B24" s="94" t="s">
        <v>925</v>
      </c>
      <c r="C24" s="325">
        <v>0</v>
      </c>
      <c r="D24" s="325">
        <v>0</v>
      </c>
      <c r="E24" s="677">
        <f t="shared" si="0"/>
        <v>854</v>
      </c>
      <c r="F24" s="325">
        <v>0</v>
      </c>
      <c r="G24" s="631">
        <v>72</v>
      </c>
      <c r="H24" s="633">
        <v>0</v>
      </c>
      <c r="I24" s="633">
        <v>0</v>
      </c>
      <c r="J24" s="327">
        <v>926</v>
      </c>
      <c r="K24" s="99"/>
      <c r="L24" s="99"/>
      <c r="M24" s="99"/>
    </row>
    <row r="25" spans="1:13" s="14" customFormat="1" ht="14.25">
      <c r="A25" s="93">
        <v>15</v>
      </c>
      <c r="B25" s="94" t="s">
        <v>926</v>
      </c>
      <c r="C25" s="325">
        <v>0</v>
      </c>
      <c r="D25" s="325">
        <v>0</v>
      </c>
      <c r="E25" s="677">
        <f t="shared" si="0"/>
        <v>485</v>
      </c>
      <c r="F25" s="325">
        <v>0</v>
      </c>
      <c r="G25" s="631">
        <v>0</v>
      </c>
      <c r="H25" s="633">
        <v>0</v>
      </c>
      <c r="I25" s="633">
        <v>0</v>
      </c>
      <c r="J25" s="327">
        <v>485</v>
      </c>
      <c r="K25" s="99"/>
      <c r="L25" s="99"/>
      <c r="M25" s="99"/>
    </row>
    <row r="26" spans="1:13" s="14" customFormat="1" ht="14.25">
      <c r="A26" s="93">
        <v>16</v>
      </c>
      <c r="B26" s="94" t="s">
        <v>927</v>
      </c>
      <c r="C26" s="325">
        <v>0</v>
      </c>
      <c r="D26" s="325">
        <v>0</v>
      </c>
      <c r="E26" s="677">
        <f t="shared" si="0"/>
        <v>2641</v>
      </c>
      <c r="F26" s="325">
        <v>0</v>
      </c>
      <c r="G26" s="631">
        <v>0</v>
      </c>
      <c r="H26" s="633">
        <v>0</v>
      </c>
      <c r="I26" s="633">
        <v>0</v>
      </c>
      <c r="J26" s="327">
        <v>2641</v>
      </c>
      <c r="K26" s="99"/>
      <c r="L26" s="99"/>
      <c r="M26" s="99"/>
    </row>
    <row r="27" spans="1:13" s="14" customFormat="1" ht="14.25">
      <c r="A27" s="93">
        <v>17</v>
      </c>
      <c r="B27" s="94" t="s">
        <v>928</v>
      </c>
      <c r="C27" s="325">
        <v>0</v>
      </c>
      <c r="D27" s="325">
        <v>0</v>
      </c>
      <c r="E27" s="677">
        <f t="shared" si="0"/>
        <v>1580</v>
      </c>
      <c r="F27" s="325">
        <v>0</v>
      </c>
      <c r="G27" s="631">
        <v>0</v>
      </c>
      <c r="H27" s="633">
        <v>0</v>
      </c>
      <c r="I27" s="633">
        <v>0</v>
      </c>
      <c r="J27" s="327">
        <v>1580</v>
      </c>
      <c r="K27" s="99"/>
      <c r="L27" s="99"/>
      <c r="M27" s="99"/>
    </row>
    <row r="28" spans="1:13" s="14" customFormat="1" ht="14.25">
      <c r="A28" s="93">
        <v>18</v>
      </c>
      <c r="B28" s="94" t="s">
        <v>929</v>
      </c>
      <c r="C28" s="325">
        <v>0</v>
      </c>
      <c r="D28" s="325">
        <v>0</v>
      </c>
      <c r="E28" s="677">
        <f t="shared" si="0"/>
        <v>1262</v>
      </c>
      <c r="F28" s="325">
        <v>0</v>
      </c>
      <c r="G28" s="631">
        <v>135</v>
      </c>
      <c r="H28" s="633">
        <v>0</v>
      </c>
      <c r="I28" s="633">
        <v>0</v>
      </c>
      <c r="J28" s="327">
        <v>1397</v>
      </c>
      <c r="K28" s="99"/>
      <c r="L28" s="99"/>
      <c r="M28" s="99"/>
    </row>
    <row r="29" spans="1:13" s="14" customFormat="1" ht="14.25">
      <c r="A29" s="93">
        <v>19</v>
      </c>
      <c r="B29" s="94" t="s">
        <v>930</v>
      </c>
      <c r="C29" s="325">
        <v>0</v>
      </c>
      <c r="D29" s="325">
        <v>0</v>
      </c>
      <c r="E29" s="677">
        <f t="shared" si="0"/>
        <v>940</v>
      </c>
      <c r="F29" s="325">
        <v>0</v>
      </c>
      <c r="G29" s="631">
        <v>0</v>
      </c>
      <c r="H29" s="633">
        <v>0</v>
      </c>
      <c r="I29" s="633">
        <v>0</v>
      </c>
      <c r="J29" s="327">
        <v>940</v>
      </c>
      <c r="K29" s="99"/>
      <c r="L29" s="99"/>
      <c r="M29" s="99"/>
    </row>
    <row r="30" spans="1:13" s="14" customFormat="1" ht="14.25">
      <c r="A30" s="93">
        <v>20</v>
      </c>
      <c r="B30" s="94" t="s">
        <v>931</v>
      </c>
      <c r="C30" s="325">
        <v>0</v>
      </c>
      <c r="D30" s="325">
        <v>0</v>
      </c>
      <c r="E30" s="677">
        <f t="shared" si="0"/>
        <v>15</v>
      </c>
      <c r="F30" s="325">
        <v>0</v>
      </c>
      <c r="G30" s="631">
        <v>1066</v>
      </c>
      <c r="H30" s="633">
        <v>0</v>
      </c>
      <c r="I30" s="633">
        <v>0</v>
      </c>
      <c r="J30" s="327">
        <v>1081</v>
      </c>
      <c r="K30" s="99"/>
      <c r="L30" s="99"/>
      <c r="M30" s="99"/>
    </row>
    <row r="31" spans="1:13" s="14" customFormat="1" ht="14.25">
      <c r="A31" s="93">
        <v>21</v>
      </c>
      <c r="B31" s="94" t="s">
        <v>932</v>
      </c>
      <c r="C31" s="325">
        <v>0</v>
      </c>
      <c r="D31" s="325">
        <v>0</v>
      </c>
      <c r="E31" s="677">
        <f t="shared" si="0"/>
        <v>1084</v>
      </c>
      <c r="F31" s="325">
        <v>0</v>
      </c>
      <c r="G31" s="631">
        <v>0</v>
      </c>
      <c r="H31" s="633">
        <v>0</v>
      </c>
      <c r="I31" s="633">
        <v>0</v>
      </c>
      <c r="J31" s="327">
        <v>1084</v>
      </c>
      <c r="K31" s="99"/>
      <c r="L31" s="99"/>
      <c r="M31" s="99"/>
    </row>
    <row r="32" spans="1:13" s="14" customFormat="1" ht="14.25">
      <c r="A32" s="93">
        <v>22</v>
      </c>
      <c r="B32" s="94" t="s">
        <v>933</v>
      </c>
      <c r="C32" s="325">
        <v>0</v>
      </c>
      <c r="D32" s="325">
        <v>0</v>
      </c>
      <c r="E32" s="677">
        <f t="shared" si="0"/>
        <v>1242</v>
      </c>
      <c r="F32" s="325">
        <v>0</v>
      </c>
      <c r="G32" s="631">
        <v>18</v>
      </c>
      <c r="H32" s="633">
        <v>0</v>
      </c>
      <c r="I32" s="633">
        <v>0</v>
      </c>
      <c r="J32" s="327">
        <v>1260</v>
      </c>
      <c r="K32" s="99"/>
      <c r="L32" s="99"/>
      <c r="M32" s="99"/>
    </row>
    <row r="33" spans="1:13" s="14" customFormat="1" ht="14.25">
      <c r="A33" s="93">
        <v>23</v>
      </c>
      <c r="B33" s="94" t="s">
        <v>934</v>
      </c>
      <c r="C33" s="325">
        <v>0</v>
      </c>
      <c r="D33" s="325">
        <v>0</v>
      </c>
      <c r="E33" s="677">
        <f t="shared" si="0"/>
        <v>1463</v>
      </c>
      <c r="F33" s="325">
        <v>0</v>
      </c>
      <c r="G33" s="631">
        <v>57</v>
      </c>
      <c r="H33" s="633">
        <v>0</v>
      </c>
      <c r="I33" s="633">
        <v>0</v>
      </c>
      <c r="J33" s="327">
        <v>1520</v>
      </c>
      <c r="K33" s="99"/>
      <c r="L33" s="99"/>
      <c r="M33" s="99"/>
    </row>
    <row r="34" spans="1:13" s="14" customFormat="1" ht="14.25">
      <c r="A34" s="93">
        <v>24</v>
      </c>
      <c r="B34" s="94" t="s">
        <v>935</v>
      </c>
      <c r="C34" s="325">
        <v>0</v>
      </c>
      <c r="D34" s="325">
        <v>0</v>
      </c>
      <c r="E34" s="677">
        <f t="shared" si="0"/>
        <v>852</v>
      </c>
      <c r="F34" s="325">
        <v>0</v>
      </c>
      <c r="G34" s="631">
        <v>0</v>
      </c>
      <c r="H34" s="633">
        <v>0</v>
      </c>
      <c r="I34" s="633">
        <v>0</v>
      </c>
      <c r="J34" s="327">
        <v>852</v>
      </c>
      <c r="K34" s="99"/>
      <c r="L34" s="99"/>
      <c r="M34" s="99"/>
    </row>
    <row r="35" spans="1:13" s="14" customFormat="1" ht="14.25">
      <c r="A35" s="93">
        <v>25</v>
      </c>
      <c r="B35" s="94" t="s">
        <v>936</v>
      </c>
      <c r="C35" s="325">
        <v>0</v>
      </c>
      <c r="D35" s="325">
        <v>0</v>
      </c>
      <c r="E35" s="677">
        <f t="shared" si="0"/>
        <v>1250</v>
      </c>
      <c r="F35" s="325">
        <v>0</v>
      </c>
      <c r="G35" s="631">
        <v>546</v>
      </c>
      <c r="H35" s="633">
        <v>0</v>
      </c>
      <c r="I35" s="633">
        <v>0</v>
      </c>
      <c r="J35" s="327">
        <v>1796</v>
      </c>
      <c r="K35" s="99"/>
      <c r="L35" s="99"/>
      <c r="M35" s="99"/>
    </row>
    <row r="36" spans="1:13" s="14" customFormat="1" ht="14.25">
      <c r="A36" s="93">
        <v>26</v>
      </c>
      <c r="B36" s="94" t="s">
        <v>937</v>
      </c>
      <c r="C36" s="325">
        <v>0</v>
      </c>
      <c r="D36" s="325">
        <v>0</v>
      </c>
      <c r="E36" s="677">
        <f t="shared" si="0"/>
        <v>1829</v>
      </c>
      <c r="F36" s="325">
        <v>0</v>
      </c>
      <c r="G36" s="631">
        <v>419</v>
      </c>
      <c r="H36" s="633">
        <v>0</v>
      </c>
      <c r="I36" s="633">
        <v>0</v>
      </c>
      <c r="J36" s="327">
        <v>2248</v>
      </c>
      <c r="K36" s="99"/>
      <c r="L36" s="99"/>
      <c r="M36" s="99"/>
    </row>
    <row r="37" spans="1:13" s="14" customFormat="1" ht="14.25">
      <c r="A37" s="93">
        <v>27</v>
      </c>
      <c r="B37" s="94" t="s">
        <v>938</v>
      </c>
      <c r="C37" s="325">
        <v>0</v>
      </c>
      <c r="D37" s="325">
        <v>0</v>
      </c>
      <c r="E37" s="677">
        <f t="shared" si="0"/>
        <v>1611</v>
      </c>
      <c r="F37" s="325">
        <v>0</v>
      </c>
      <c r="G37" s="631">
        <v>70</v>
      </c>
      <c r="H37" s="633">
        <v>0</v>
      </c>
      <c r="I37" s="633">
        <v>0</v>
      </c>
      <c r="J37" s="327">
        <v>1681</v>
      </c>
      <c r="K37" s="99"/>
      <c r="L37" s="99"/>
      <c r="M37" s="99"/>
    </row>
    <row r="38" spans="1:13" s="14" customFormat="1" ht="14.25">
      <c r="A38" s="93">
        <v>28</v>
      </c>
      <c r="B38" s="94" t="s">
        <v>939</v>
      </c>
      <c r="C38" s="325">
        <v>0</v>
      </c>
      <c r="D38" s="325">
        <v>0</v>
      </c>
      <c r="E38" s="677">
        <f t="shared" si="0"/>
        <v>2325</v>
      </c>
      <c r="F38" s="325">
        <v>0</v>
      </c>
      <c r="G38" s="631">
        <v>0</v>
      </c>
      <c r="H38" s="633">
        <v>0</v>
      </c>
      <c r="I38" s="633">
        <v>0</v>
      </c>
      <c r="J38" s="327">
        <v>2325</v>
      </c>
      <c r="K38" s="99"/>
      <c r="L38" s="99"/>
      <c r="M38" s="99"/>
    </row>
    <row r="39" spans="1:13">
      <c r="A39" s="93">
        <v>29</v>
      </c>
      <c r="B39" s="94" t="s">
        <v>940</v>
      </c>
      <c r="C39" s="325">
        <v>0</v>
      </c>
      <c r="D39" s="325">
        <v>0</v>
      </c>
      <c r="E39" s="677">
        <f t="shared" si="0"/>
        <v>1769</v>
      </c>
      <c r="F39" s="325">
        <v>0</v>
      </c>
      <c r="G39" s="325">
        <v>0</v>
      </c>
      <c r="H39" s="325">
        <v>0</v>
      </c>
      <c r="I39" s="325">
        <v>0</v>
      </c>
      <c r="J39" s="325">
        <v>1769</v>
      </c>
      <c r="K39" s="86"/>
      <c r="L39" s="86"/>
      <c r="M39" s="86"/>
    </row>
    <row r="40" spans="1:13">
      <c r="A40" s="93">
        <v>30</v>
      </c>
      <c r="B40" s="94" t="s">
        <v>941</v>
      </c>
      <c r="C40" s="325">
        <v>0</v>
      </c>
      <c r="D40" s="325">
        <v>0</v>
      </c>
      <c r="E40" s="677">
        <f t="shared" si="0"/>
        <v>1445</v>
      </c>
      <c r="F40" s="325">
        <v>0</v>
      </c>
      <c r="G40" s="325">
        <v>551</v>
      </c>
      <c r="H40" s="325">
        <v>0</v>
      </c>
      <c r="I40" s="325">
        <v>0</v>
      </c>
      <c r="J40" s="325">
        <v>1996</v>
      </c>
      <c r="K40" s="86"/>
      <c r="L40" s="86"/>
      <c r="M40" s="86"/>
    </row>
    <row r="41" spans="1:13">
      <c r="A41" s="93">
        <v>31</v>
      </c>
      <c r="B41" s="94" t="s">
        <v>942</v>
      </c>
      <c r="C41" s="325">
        <v>0</v>
      </c>
      <c r="D41" s="325">
        <v>0</v>
      </c>
      <c r="E41" s="677">
        <f t="shared" si="0"/>
        <v>2089</v>
      </c>
      <c r="F41" s="325">
        <v>0</v>
      </c>
      <c r="G41" s="325">
        <v>198</v>
      </c>
      <c r="H41" s="325">
        <v>72</v>
      </c>
      <c r="I41" s="325">
        <v>0</v>
      </c>
      <c r="J41" s="325">
        <v>2359</v>
      </c>
      <c r="K41" s="86"/>
      <c r="L41" s="86"/>
      <c r="M41" s="86"/>
    </row>
    <row r="42" spans="1:13">
      <c r="A42" s="93">
        <v>32</v>
      </c>
      <c r="B42" s="94" t="s">
        <v>943</v>
      </c>
      <c r="C42" s="325">
        <v>0</v>
      </c>
      <c r="D42" s="325">
        <v>0</v>
      </c>
      <c r="E42" s="677">
        <f t="shared" si="0"/>
        <v>1156</v>
      </c>
      <c r="F42" s="325">
        <v>0</v>
      </c>
      <c r="G42" s="325">
        <v>0</v>
      </c>
      <c r="H42" s="325">
        <v>0</v>
      </c>
      <c r="I42" s="325">
        <v>0</v>
      </c>
      <c r="J42" s="325">
        <v>1156</v>
      </c>
      <c r="K42" s="86"/>
      <c r="L42" s="86"/>
      <c r="M42" s="86"/>
    </row>
    <row r="43" spans="1:13">
      <c r="A43" s="93">
        <v>33</v>
      </c>
      <c r="B43" s="94" t="s">
        <v>944</v>
      </c>
      <c r="C43" s="325">
        <v>0</v>
      </c>
      <c r="D43" s="325">
        <v>0</v>
      </c>
      <c r="E43" s="677">
        <f t="shared" si="0"/>
        <v>1719</v>
      </c>
      <c r="F43" s="325">
        <v>0</v>
      </c>
      <c r="G43" s="325">
        <v>0</v>
      </c>
      <c r="H43" s="325">
        <v>0</v>
      </c>
      <c r="I43" s="325">
        <v>0</v>
      </c>
      <c r="J43" s="325">
        <v>1719</v>
      </c>
      <c r="K43" s="86"/>
      <c r="L43" s="86"/>
      <c r="M43" s="86"/>
    </row>
    <row r="44" spans="1:13">
      <c r="A44" s="93">
        <v>34</v>
      </c>
      <c r="B44" s="94" t="s">
        <v>945</v>
      </c>
      <c r="C44" s="325">
        <v>0</v>
      </c>
      <c r="D44" s="325">
        <v>0</v>
      </c>
      <c r="E44" s="677">
        <f t="shared" si="0"/>
        <v>1047</v>
      </c>
      <c r="F44" s="325">
        <v>0</v>
      </c>
      <c r="G44" s="325">
        <v>54</v>
      </c>
      <c r="H44" s="325">
        <v>0</v>
      </c>
      <c r="I44" s="325">
        <v>0</v>
      </c>
      <c r="J44" s="325">
        <v>1101</v>
      </c>
      <c r="K44" s="86"/>
      <c r="L44" s="86"/>
      <c r="M44" s="86"/>
    </row>
    <row r="45" spans="1:13" ht="14.25">
      <c r="A45" s="90" t="s">
        <v>17</v>
      </c>
      <c r="B45" s="94"/>
      <c r="C45" s="632">
        <f t="shared" ref="C45:F45" si="1">SUM(C11:C44)</f>
        <v>0</v>
      </c>
      <c r="D45" s="632">
        <f t="shared" si="1"/>
        <v>0</v>
      </c>
      <c r="E45" s="632">
        <f t="shared" si="1"/>
        <v>48923</v>
      </c>
      <c r="F45" s="632">
        <f t="shared" si="1"/>
        <v>0</v>
      </c>
      <c r="G45" s="632">
        <f>SUM(G11:G44)</f>
        <v>5366</v>
      </c>
      <c r="H45" s="632">
        <f t="shared" ref="H45" si="2">SUM(H11:H44)</f>
        <v>72</v>
      </c>
      <c r="I45" s="632">
        <f t="shared" ref="I45" si="3">SUM(I11:I44)</f>
        <v>0</v>
      </c>
      <c r="J45" s="632">
        <f t="shared" ref="J45" si="4">SUM(J11:J44)</f>
        <v>54361</v>
      </c>
      <c r="L45" s="86"/>
      <c r="M45" s="86"/>
    </row>
    <row r="46" spans="1:13">
      <c r="A46" s="95"/>
      <c r="B46" s="86"/>
      <c r="C46" s="86"/>
      <c r="D46" s="86"/>
      <c r="E46" s="86"/>
      <c r="F46" s="86"/>
      <c r="G46" s="86"/>
      <c r="H46" s="86"/>
      <c r="I46" s="86"/>
      <c r="J46" s="86"/>
      <c r="K46" s="86"/>
      <c r="L46" s="86"/>
      <c r="M46" s="86"/>
    </row>
    <row r="47" spans="1:13">
      <c r="A47" s="86"/>
      <c r="B47" s="86"/>
      <c r="C47" s="86"/>
      <c r="D47" s="86"/>
      <c r="E47" s="86"/>
      <c r="F47" s="86"/>
      <c r="G47" s="86"/>
      <c r="H47" s="86"/>
      <c r="I47" s="86"/>
      <c r="J47" s="86"/>
      <c r="K47" s="86"/>
      <c r="L47" s="86"/>
      <c r="M47" s="86"/>
    </row>
    <row r="48" spans="1:13">
      <c r="A48" s="86" t="s">
        <v>122</v>
      </c>
      <c r="B48" s="86"/>
      <c r="C48" s="86"/>
      <c r="D48" s="86"/>
      <c r="E48" s="86"/>
      <c r="F48" s="86"/>
      <c r="G48" s="86"/>
      <c r="H48" s="86"/>
      <c r="I48" s="86"/>
      <c r="J48" s="86"/>
      <c r="K48" s="86"/>
      <c r="L48" s="86"/>
      <c r="M48" s="86"/>
    </row>
    <row r="49" spans="1:13">
      <c r="A49" s="86" t="s">
        <v>197</v>
      </c>
      <c r="B49" s="86"/>
      <c r="C49" s="86"/>
      <c r="D49" s="86"/>
      <c r="E49" s="86"/>
      <c r="F49" s="86"/>
      <c r="G49" s="86"/>
      <c r="H49" s="86"/>
      <c r="I49" s="86"/>
      <c r="J49" s="86"/>
      <c r="K49" s="86"/>
      <c r="L49" s="86"/>
      <c r="M49" s="86"/>
    </row>
    <row r="50" spans="1:13">
      <c r="A50" t="s">
        <v>123</v>
      </c>
    </row>
    <row r="51" spans="1:13">
      <c r="A51" s="1050" t="s">
        <v>124</v>
      </c>
      <c r="B51" s="1050"/>
      <c r="C51" s="1050"/>
      <c r="D51" s="1050"/>
      <c r="E51" s="1050"/>
      <c r="F51" s="1050"/>
      <c r="G51" s="1050"/>
      <c r="H51" s="1050"/>
      <c r="I51" s="1050"/>
      <c r="J51" s="1050"/>
      <c r="K51" s="1050"/>
      <c r="L51" s="1050"/>
      <c r="M51" s="1050"/>
    </row>
    <row r="52" spans="1:13">
      <c r="A52" s="1051" t="s">
        <v>125</v>
      </c>
      <c r="B52" s="1051"/>
      <c r="C52" s="1051"/>
      <c r="D52" s="1051"/>
      <c r="E52" s="86"/>
      <c r="F52" s="86"/>
      <c r="G52" s="86"/>
      <c r="H52" s="86"/>
      <c r="I52" s="86"/>
      <c r="J52" s="86"/>
      <c r="K52" s="86"/>
      <c r="L52" s="86"/>
      <c r="M52" s="86"/>
    </row>
    <row r="53" spans="1:13">
      <c r="A53" s="136" t="s">
        <v>167</v>
      </c>
      <c r="B53" s="136"/>
      <c r="C53" s="136"/>
      <c r="D53" s="136"/>
      <c r="E53" s="86"/>
      <c r="F53" s="86"/>
      <c r="G53" s="86"/>
      <c r="H53" s="86"/>
      <c r="I53" s="86"/>
      <c r="J53" s="86"/>
      <c r="K53" s="86"/>
      <c r="L53" s="86"/>
      <c r="M53" s="86"/>
    </row>
    <row r="54" spans="1:13">
      <c r="A54" s="136"/>
      <c r="B54" s="136"/>
      <c r="C54" s="136"/>
      <c r="D54" s="136"/>
      <c r="E54" s="86"/>
      <c r="F54" s="86"/>
      <c r="G54" s="86"/>
      <c r="H54" s="86"/>
      <c r="I54" s="86"/>
      <c r="J54" s="86"/>
      <c r="K54" s="86"/>
      <c r="L54" s="86"/>
      <c r="M54" s="86"/>
    </row>
    <row r="55" spans="1:13" ht="15.75">
      <c r="A55" s="98"/>
      <c r="B55" s="98"/>
      <c r="C55" s="98"/>
      <c r="D55" s="98"/>
      <c r="E55" s="98"/>
      <c r="F55" s="98"/>
      <c r="G55" s="698"/>
      <c r="H55" s="790" t="s">
        <v>12</v>
      </c>
      <c r="I55" s="698"/>
      <c r="J55" s="137"/>
      <c r="K55" s="137"/>
      <c r="L55" s="86"/>
      <c r="M55" s="86"/>
    </row>
    <row r="56" spans="1:13" ht="15.75" customHeight="1">
      <c r="A56" s="803" t="s">
        <v>906</v>
      </c>
      <c r="B56" s="803"/>
      <c r="C56" s="803"/>
      <c r="D56" s="137"/>
      <c r="E56" s="137"/>
      <c r="F56" s="137"/>
      <c r="G56" s="901" t="s">
        <v>13</v>
      </c>
      <c r="H56" s="901"/>
      <c r="I56" s="901"/>
      <c r="J56" s="137"/>
      <c r="K56" s="86"/>
      <c r="L56" s="86"/>
      <c r="M56" s="86"/>
    </row>
    <row r="57" spans="1:13" ht="15.75" customHeight="1">
      <c r="A57" s="804" t="s">
        <v>907</v>
      </c>
      <c r="B57" s="804"/>
      <c r="C57" s="804"/>
      <c r="D57" s="137"/>
      <c r="E57" s="137"/>
      <c r="F57" s="137"/>
      <c r="G57" s="901" t="s">
        <v>87</v>
      </c>
      <c r="H57" s="901"/>
      <c r="I57" s="901"/>
      <c r="J57" s="137"/>
      <c r="K57" s="137"/>
      <c r="L57" s="86"/>
      <c r="M57" s="86"/>
    </row>
    <row r="58" spans="1:13">
      <c r="A58" s="804" t="s">
        <v>908</v>
      </c>
      <c r="B58" s="804"/>
      <c r="C58" s="804"/>
      <c r="D58" s="86"/>
      <c r="E58" s="86"/>
      <c r="F58" s="86"/>
      <c r="G58" s="698"/>
      <c r="H58" s="789" t="s">
        <v>84</v>
      </c>
      <c r="I58" s="698"/>
      <c r="J58" s="33"/>
      <c r="K58" s="33"/>
      <c r="L58" s="33"/>
      <c r="M58" s="86"/>
    </row>
    <row r="59" spans="1:13">
      <c r="A59" s="1049"/>
      <c r="B59" s="1049"/>
      <c r="C59" s="1049"/>
      <c r="D59" s="1049"/>
      <c r="E59" s="1049"/>
      <c r="F59" s="1049"/>
      <c r="G59" s="1049"/>
      <c r="H59" s="1049"/>
      <c r="I59" s="1049"/>
      <c r="J59" s="1049"/>
      <c r="K59" s="86"/>
      <c r="L59" s="86"/>
      <c r="M59" s="86"/>
    </row>
  </sheetData>
  <mergeCells count="19">
    <mergeCell ref="K51:M51"/>
    <mergeCell ref="A8:A9"/>
    <mergeCell ref="B8:B9"/>
    <mergeCell ref="C8:J8"/>
    <mergeCell ref="C3:I3"/>
    <mergeCell ref="D1:E1"/>
    <mergeCell ref="G1:J1"/>
    <mergeCell ref="A2:J2"/>
    <mergeCell ref="A4:J4"/>
    <mergeCell ref="A5:B5"/>
    <mergeCell ref="A59:J59"/>
    <mergeCell ref="A51:D51"/>
    <mergeCell ref="E51:J51"/>
    <mergeCell ref="A52:D52"/>
    <mergeCell ref="A56:C56"/>
    <mergeCell ref="A57:C57"/>
    <mergeCell ref="A58:C58"/>
    <mergeCell ref="G56:I56"/>
    <mergeCell ref="G57:I57"/>
  </mergeCells>
  <phoneticPr fontId="0" type="noConversion"/>
  <printOptions horizontalCentered="1"/>
  <pageMargins left="0.70866141732283472" right="0.70866141732283472" top="0.23622047244094491" bottom="0" header="0.31496062992125984" footer="0.31496062992125984"/>
  <pageSetup paperSize="9" scale="69" orientation="landscape" r:id="rId1"/>
</worksheet>
</file>

<file path=xl/worksheets/sheet48.xml><?xml version="1.0" encoding="utf-8"?>
<worksheet xmlns="http://schemas.openxmlformats.org/spreadsheetml/2006/main" xmlns:r="http://schemas.openxmlformats.org/officeDocument/2006/relationships">
  <sheetPr codeName="Sheet48">
    <pageSetUpPr fitToPage="1"/>
  </sheetPr>
  <dimension ref="A1:Z143"/>
  <sheetViews>
    <sheetView view="pageBreakPreview" topLeftCell="A17" zoomScale="76" zoomScaleNormal="80" zoomScaleSheetLayoutView="76" workbookViewId="0">
      <selection activeCell="I133" sqref="I133"/>
    </sheetView>
  </sheetViews>
  <sheetFormatPr defaultRowHeight="12.75"/>
  <cols>
    <col min="1" max="1" width="6.140625" customWidth="1"/>
    <col min="2" max="2" width="17" style="637" customWidth="1"/>
    <col min="3" max="5" width="17" customWidth="1"/>
    <col min="6" max="6" width="39.5703125" customWidth="1"/>
    <col min="7" max="11" width="17" customWidth="1"/>
    <col min="12" max="12" width="18.85546875" customWidth="1"/>
    <col min="13" max="13" width="18.7109375" customWidth="1"/>
    <col min="14" max="14" width="12.28515625" customWidth="1"/>
    <col min="15" max="15" width="12.7109375" customWidth="1"/>
    <col min="16" max="16" width="16.140625" customWidth="1"/>
  </cols>
  <sheetData>
    <row r="1" spans="1:26" ht="15">
      <c r="A1" s="86"/>
      <c r="B1" s="664"/>
      <c r="C1" s="86"/>
      <c r="D1" s="86"/>
      <c r="E1" s="86"/>
      <c r="F1" s="86"/>
      <c r="G1" s="86"/>
      <c r="H1" s="86"/>
      <c r="I1" s="86"/>
      <c r="J1" s="86"/>
      <c r="K1" s="86"/>
      <c r="L1" s="962" t="s">
        <v>547</v>
      </c>
      <c r="M1" s="962"/>
      <c r="N1" s="100"/>
      <c r="O1" s="86"/>
      <c r="P1" s="86"/>
    </row>
    <row r="2" spans="1:26" ht="15.75">
      <c r="A2" s="1043" t="s">
        <v>0</v>
      </c>
      <c r="B2" s="1043"/>
      <c r="C2" s="1043"/>
      <c r="D2" s="1043"/>
      <c r="E2" s="1043"/>
      <c r="F2" s="1043"/>
      <c r="G2" s="1043"/>
      <c r="H2" s="1043"/>
      <c r="I2" s="1043"/>
      <c r="J2" s="1043"/>
      <c r="K2" s="1043"/>
      <c r="L2" s="1043"/>
      <c r="M2" s="1043"/>
      <c r="N2" s="86"/>
      <c r="O2" s="86"/>
      <c r="P2" s="86"/>
    </row>
    <row r="3" spans="1:26" ht="20.25">
      <c r="A3" s="881" t="s">
        <v>745</v>
      </c>
      <c r="B3" s="881"/>
      <c r="C3" s="881"/>
      <c r="D3" s="881"/>
      <c r="E3" s="881"/>
      <c r="F3" s="881"/>
      <c r="G3" s="881"/>
      <c r="H3" s="881"/>
      <c r="I3" s="881"/>
      <c r="J3" s="881"/>
      <c r="K3" s="881"/>
      <c r="L3" s="881"/>
      <c r="M3" s="881"/>
      <c r="N3" s="86"/>
      <c r="O3" s="86"/>
      <c r="P3" s="86"/>
    </row>
    <row r="4" spans="1:26">
      <c r="A4" s="86"/>
      <c r="B4" s="664"/>
      <c r="C4" s="86"/>
      <c r="D4" s="86"/>
      <c r="E4" s="86"/>
      <c r="F4" s="86"/>
      <c r="G4" s="86"/>
      <c r="H4" s="86"/>
      <c r="I4" s="86"/>
      <c r="J4" s="86"/>
      <c r="K4" s="86"/>
      <c r="L4" s="86"/>
      <c r="M4" s="86"/>
      <c r="N4" s="86"/>
      <c r="O4" s="86"/>
      <c r="P4" s="86"/>
    </row>
    <row r="5" spans="1:26" ht="15.75">
      <c r="A5" s="882" t="s">
        <v>546</v>
      </c>
      <c r="B5" s="882"/>
      <c r="C5" s="882"/>
      <c r="D5" s="882"/>
      <c r="E5" s="882"/>
      <c r="F5" s="882"/>
      <c r="G5" s="882"/>
      <c r="H5" s="882"/>
      <c r="I5" s="882"/>
      <c r="J5" s="882"/>
      <c r="K5" s="882"/>
      <c r="L5" s="882"/>
      <c r="M5" s="882"/>
      <c r="N5" s="86"/>
      <c r="O5" s="86"/>
      <c r="P5" s="86"/>
    </row>
    <row r="6" spans="1:26">
      <c r="A6" s="86"/>
      <c r="B6" s="664"/>
      <c r="C6" s="86"/>
      <c r="D6" s="86"/>
      <c r="E6" s="86"/>
      <c r="F6" s="86"/>
      <c r="G6" s="86"/>
      <c r="H6" s="86"/>
      <c r="I6" s="86"/>
      <c r="J6" s="86"/>
      <c r="K6" s="86"/>
      <c r="L6" s="86"/>
      <c r="M6" s="86"/>
      <c r="N6" s="86"/>
      <c r="O6" s="86"/>
      <c r="P6" s="86"/>
    </row>
    <row r="7" spans="1:26">
      <c r="A7" s="850" t="s">
        <v>162</v>
      </c>
      <c r="B7" s="850"/>
      <c r="C7" s="29"/>
      <c r="D7" s="29"/>
      <c r="E7" s="29"/>
      <c r="F7" s="86"/>
      <c r="G7" s="86"/>
      <c r="H7" s="86"/>
      <c r="I7" s="86"/>
      <c r="J7" s="86"/>
      <c r="K7" s="86"/>
      <c r="L7" s="86"/>
      <c r="M7" s="86"/>
      <c r="N7" s="86"/>
      <c r="O7" s="86"/>
      <c r="P7" s="86"/>
    </row>
    <row r="8" spans="1:26" ht="18">
      <c r="A8" s="89"/>
      <c r="B8" s="665"/>
      <c r="C8" s="89"/>
      <c r="D8" s="89"/>
      <c r="E8" s="89"/>
      <c r="F8" s="86"/>
      <c r="G8" s="86"/>
      <c r="H8" s="86"/>
      <c r="I8" s="86"/>
      <c r="J8" s="86"/>
      <c r="K8" s="86"/>
      <c r="L8" s="86"/>
      <c r="M8" s="86"/>
      <c r="N8" s="86"/>
      <c r="O8" s="86"/>
      <c r="P8" s="86"/>
    </row>
    <row r="9" spans="1:26" ht="19.899999999999999" customHeight="1">
      <c r="A9" s="1041" t="s">
        <v>2</v>
      </c>
      <c r="B9" s="1041" t="s">
        <v>3</v>
      </c>
      <c r="C9" s="1078" t="s">
        <v>120</v>
      </c>
      <c r="D9" s="1078"/>
      <c r="E9" s="1079"/>
      <c r="F9" s="1077" t="s">
        <v>121</v>
      </c>
      <c r="G9" s="1078"/>
      <c r="H9" s="1078"/>
      <c r="I9" s="1079"/>
      <c r="J9" s="1077" t="s">
        <v>195</v>
      </c>
      <c r="K9" s="1078"/>
      <c r="L9" s="1078"/>
      <c r="M9" s="1079"/>
      <c r="Y9" s="9"/>
      <c r="Z9" s="12"/>
    </row>
    <row r="10" spans="1:26" ht="45.75" customHeight="1">
      <c r="A10" s="1041"/>
      <c r="B10" s="1041"/>
      <c r="C10" s="139" t="s">
        <v>388</v>
      </c>
      <c r="D10" s="635" t="s">
        <v>385</v>
      </c>
      <c r="E10" s="139" t="s">
        <v>198</v>
      </c>
      <c r="F10" s="635" t="s">
        <v>383</v>
      </c>
      <c r="G10" s="139" t="s">
        <v>384</v>
      </c>
      <c r="H10" s="635" t="s">
        <v>385</v>
      </c>
      <c r="I10" s="139" t="s">
        <v>198</v>
      </c>
      <c r="J10" s="635" t="s">
        <v>387</v>
      </c>
      <c r="K10" s="139" t="s">
        <v>384</v>
      </c>
      <c r="L10" s="635" t="s">
        <v>385</v>
      </c>
      <c r="M10" s="634" t="s">
        <v>198</v>
      </c>
    </row>
    <row r="11" spans="1:26" s="14" customFormat="1">
      <c r="A11" s="325">
        <v>1</v>
      </c>
      <c r="B11" s="325">
        <v>2</v>
      </c>
      <c r="C11" s="325">
        <v>3</v>
      </c>
      <c r="D11" s="325">
        <v>4</v>
      </c>
      <c r="E11" s="325">
        <v>5</v>
      </c>
      <c r="F11" s="325">
        <v>6</v>
      </c>
      <c r="G11" s="325">
        <v>7</v>
      </c>
      <c r="H11" s="325">
        <v>8</v>
      </c>
      <c r="I11" s="325">
        <v>9</v>
      </c>
      <c r="J11" s="325">
        <v>10</v>
      </c>
      <c r="K11" s="325">
        <v>11</v>
      </c>
      <c r="L11" s="325">
        <v>12</v>
      </c>
      <c r="M11" s="325">
        <v>13</v>
      </c>
    </row>
    <row r="12" spans="1:26" s="14" customFormat="1" ht="31.5">
      <c r="A12" s="1071">
        <v>1</v>
      </c>
      <c r="B12" s="1072" t="s">
        <v>974</v>
      </c>
      <c r="C12" s="638"/>
      <c r="D12" s="638"/>
      <c r="E12" s="638"/>
      <c r="F12" s="639" t="s">
        <v>1077</v>
      </c>
      <c r="G12" s="640">
        <v>1</v>
      </c>
      <c r="H12" s="640">
        <v>18</v>
      </c>
      <c r="I12" s="640">
        <v>4024</v>
      </c>
      <c r="J12" s="640"/>
      <c r="K12" s="638"/>
      <c r="L12" s="638"/>
      <c r="M12" s="638"/>
    </row>
    <row r="13" spans="1:26" s="14" customFormat="1" ht="47.25">
      <c r="A13" s="1071"/>
      <c r="B13" s="1072"/>
      <c r="C13" s="638"/>
      <c r="D13" s="638"/>
      <c r="E13" s="638"/>
      <c r="F13" s="639" t="s">
        <v>1078</v>
      </c>
      <c r="G13" s="640">
        <v>1</v>
      </c>
      <c r="H13" s="640">
        <v>32</v>
      </c>
      <c r="I13" s="640">
        <v>5764</v>
      </c>
      <c r="J13" s="640"/>
      <c r="K13" s="638"/>
      <c r="L13" s="638"/>
      <c r="M13" s="638"/>
    </row>
    <row r="14" spans="1:26" s="14" customFormat="1" ht="31.5">
      <c r="A14" s="1071"/>
      <c r="B14" s="1072"/>
      <c r="C14" s="638"/>
      <c r="D14" s="638"/>
      <c r="E14" s="638"/>
      <c r="F14" s="639" t="s">
        <v>1079</v>
      </c>
      <c r="G14" s="640">
        <v>1</v>
      </c>
      <c r="H14" s="640">
        <v>11</v>
      </c>
      <c r="I14" s="640">
        <v>3806</v>
      </c>
      <c r="J14" s="640"/>
      <c r="K14" s="638"/>
      <c r="L14" s="638"/>
      <c r="M14" s="638"/>
    </row>
    <row r="15" spans="1:26" s="14" customFormat="1" ht="31.5">
      <c r="A15" s="1071"/>
      <c r="B15" s="1072"/>
      <c r="C15" s="638"/>
      <c r="D15" s="638"/>
      <c r="E15" s="638"/>
      <c r="F15" s="639" t="s">
        <v>1080</v>
      </c>
      <c r="G15" s="640">
        <v>1</v>
      </c>
      <c r="H15" s="640">
        <v>4</v>
      </c>
      <c r="I15" s="640">
        <v>919</v>
      </c>
      <c r="J15" s="640"/>
      <c r="K15" s="638"/>
      <c r="L15" s="638"/>
      <c r="M15" s="638"/>
    </row>
    <row r="16" spans="1:26" s="14" customFormat="1" ht="31.5">
      <c r="A16" s="1071"/>
      <c r="B16" s="1072"/>
      <c r="C16" s="638"/>
      <c r="D16" s="638"/>
      <c r="E16" s="638"/>
      <c r="F16" s="639" t="s">
        <v>1081</v>
      </c>
      <c r="G16" s="640">
        <v>1</v>
      </c>
      <c r="H16" s="640">
        <v>5</v>
      </c>
      <c r="I16" s="640">
        <v>1278</v>
      </c>
      <c r="J16" s="640"/>
      <c r="K16" s="638"/>
      <c r="L16" s="638"/>
      <c r="M16" s="638"/>
    </row>
    <row r="17" spans="1:13" s="14" customFormat="1" ht="31.5">
      <c r="A17" s="641">
        <v>2</v>
      </c>
      <c r="B17" s="666" t="s">
        <v>1082</v>
      </c>
      <c r="C17" s="638" t="s">
        <v>1083</v>
      </c>
      <c r="D17" s="638"/>
      <c r="E17" s="638"/>
      <c r="F17" s="690"/>
      <c r="G17" s="645">
        <f>SUM(G12:G16)</f>
        <v>5</v>
      </c>
      <c r="H17" s="645">
        <f t="shared" ref="H17:M17" si="0">SUM(H12:H16)</f>
        <v>70</v>
      </c>
      <c r="I17" s="645">
        <f t="shared" si="0"/>
        <v>15791</v>
      </c>
      <c r="J17" s="645">
        <f t="shared" si="0"/>
        <v>0</v>
      </c>
      <c r="K17" s="646">
        <f t="shared" si="0"/>
        <v>0</v>
      </c>
      <c r="L17" s="646">
        <f t="shared" si="0"/>
        <v>0</v>
      </c>
      <c r="M17" s="646">
        <f t="shared" si="0"/>
        <v>0</v>
      </c>
    </row>
    <row r="18" spans="1:13" s="14" customFormat="1" ht="31.5">
      <c r="A18" s="1071">
        <v>3</v>
      </c>
      <c r="B18" s="1072" t="s">
        <v>999</v>
      </c>
      <c r="C18" s="638">
        <v>10</v>
      </c>
      <c r="D18" s="638">
        <v>30</v>
      </c>
      <c r="E18" s="638">
        <v>1555</v>
      </c>
      <c r="F18" s="639" t="s">
        <v>1084</v>
      </c>
      <c r="G18" s="640">
        <v>1</v>
      </c>
      <c r="H18" s="640">
        <v>182</v>
      </c>
      <c r="I18" s="640">
        <v>28192</v>
      </c>
      <c r="J18" s="640">
        <v>0</v>
      </c>
      <c r="K18" s="638">
        <v>0</v>
      </c>
      <c r="L18" s="638">
        <v>0</v>
      </c>
      <c r="M18" s="638">
        <v>0</v>
      </c>
    </row>
    <row r="19" spans="1:13" s="14" customFormat="1" ht="31.5">
      <c r="A19" s="1071"/>
      <c r="B19" s="1072"/>
      <c r="C19" s="638">
        <v>0</v>
      </c>
      <c r="D19" s="638">
        <v>0</v>
      </c>
      <c r="E19" s="638">
        <v>0</v>
      </c>
      <c r="F19" s="639" t="s">
        <v>1085</v>
      </c>
      <c r="G19" s="640">
        <v>1</v>
      </c>
      <c r="H19" s="640">
        <v>48</v>
      </c>
      <c r="I19" s="640">
        <v>6808</v>
      </c>
      <c r="J19" s="640">
        <v>0</v>
      </c>
      <c r="K19" s="638">
        <v>0</v>
      </c>
      <c r="L19" s="638">
        <v>0</v>
      </c>
      <c r="M19" s="638">
        <v>0</v>
      </c>
    </row>
    <row r="20" spans="1:13" s="14" customFormat="1" ht="31.5">
      <c r="A20" s="1071"/>
      <c r="B20" s="1072"/>
      <c r="C20" s="638">
        <v>0</v>
      </c>
      <c r="D20" s="638">
        <v>0</v>
      </c>
      <c r="E20" s="638">
        <v>0</v>
      </c>
      <c r="F20" s="639" t="s">
        <v>1086</v>
      </c>
      <c r="G20" s="640">
        <v>1</v>
      </c>
      <c r="H20" s="640">
        <v>76</v>
      </c>
      <c r="I20" s="640">
        <v>10203</v>
      </c>
      <c r="J20" s="640">
        <v>0</v>
      </c>
      <c r="K20" s="638">
        <v>0</v>
      </c>
      <c r="L20" s="638">
        <v>0</v>
      </c>
      <c r="M20" s="638">
        <v>0</v>
      </c>
    </row>
    <row r="21" spans="1:13" s="14" customFormat="1" ht="47.25">
      <c r="A21" s="1071"/>
      <c r="B21" s="1072"/>
      <c r="C21" s="638">
        <v>8</v>
      </c>
      <c r="D21" s="638">
        <v>26</v>
      </c>
      <c r="E21" s="638">
        <v>3912</v>
      </c>
      <c r="F21" s="639" t="s">
        <v>1087</v>
      </c>
      <c r="G21" s="640">
        <v>1</v>
      </c>
      <c r="H21" s="640">
        <v>88</v>
      </c>
      <c r="I21" s="640">
        <v>9495</v>
      </c>
      <c r="J21" s="640">
        <v>0</v>
      </c>
      <c r="K21" s="638">
        <v>0</v>
      </c>
      <c r="L21" s="638">
        <v>0</v>
      </c>
      <c r="M21" s="638">
        <v>0</v>
      </c>
    </row>
    <row r="22" spans="1:13" s="14" customFormat="1" ht="47.25">
      <c r="A22" s="1071"/>
      <c r="B22" s="1072"/>
      <c r="C22" s="638">
        <v>0</v>
      </c>
      <c r="D22" s="638">
        <v>0</v>
      </c>
      <c r="E22" s="638">
        <v>0</v>
      </c>
      <c r="F22" s="639" t="s">
        <v>1088</v>
      </c>
      <c r="G22" s="640"/>
      <c r="H22" s="640">
        <v>11</v>
      </c>
      <c r="I22" s="640">
        <v>1204</v>
      </c>
      <c r="J22" s="640">
        <v>0</v>
      </c>
      <c r="K22" s="638">
        <v>0</v>
      </c>
      <c r="L22" s="638">
        <v>0</v>
      </c>
      <c r="M22" s="638">
        <v>0</v>
      </c>
    </row>
    <row r="23" spans="1:13" s="14" customFormat="1" ht="47.25">
      <c r="A23" s="1071"/>
      <c r="B23" s="1072"/>
      <c r="C23" s="638">
        <v>0</v>
      </c>
      <c r="D23" s="638">
        <v>0</v>
      </c>
      <c r="E23" s="638">
        <v>0</v>
      </c>
      <c r="F23" s="639" t="s">
        <v>1089</v>
      </c>
      <c r="G23" s="640">
        <v>1</v>
      </c>
      <c r="H23" s="640">
        <v>20</v>
      </c>
      <c r="I23" s="640">
        <v>2387</v>
      </c>
      <c r="J23" s="640">
        <v>0</v>
      </c>
      <c r="K23" s="638">
        <v>0</v>
      </c>
      <c r="L23" s="638">
        <v>0</v>
      </c>
      <c r="M23" s="638">
        <v>0</v>
      </c>
    </row>
    <row r="24" spans="1:13" s="14" customFormat="1" ht="47.25">
      <c r="A24" s="1071"/>
      <c r="B24" s="1072"/>
      <c r="C24" s="638">
        <v>0</v>
      </c>
      <c r="D24" s="638">
        <v>0</v>
      </c>
      <c r="E24" s="638">
        <v>0</v>
      </c>
      <c r="F24" s="639" t="s">
        <v>1088</v>
      </c>
      <c r="G24" s="640">
        <v>1</v>
      </c>
      <c r="H24" s="640">
        <v>62</v>
      </c>
      <c r="I24" s="640">
        <v>8106</v>
      </c>
      <c r="J24" s="640">
        <v>0</v>
      </c>
      <c r="K24" s="638">
        <v>0</v>
      </c>
      <c r="L24" s="638">
        <v>0</v>
      </c>
      <c r="M24" s="638">
        <v>0</v>
      </c>
    </row>
    <row r="25" spans="1:13" s="14" customFormat="1" ht="47.25">
      <c r="A25" s="1071"/>
      <c r="B25" s="1072"/>
      <c r="C25" s="638">
        <v>7</v>
      </c>
      <c r="D25" s="638">
        <v>7</v>
      </c>
      <c r="E25" s="638">
        <v>378</v>
      </c>
      <c r="F25" s="639" t="s">
        <v>1087</v>
      </c>
      <c r="G25" s="640"/>
      <c r="H25" s="640">
        <v>59</v>
      </c>
      <c r="I25" s="640">
        <v>5136</v>
      </c>
      <c r="J25" s="640">
        <v>0</v>
      </c>
      <c r="K25" s="638">
        <v>0</v>
      </c>
      <c r="L25" s="638">
        <v>0</v>
      </c>
      <c r="M25" s="638">
        <v>0</v>
      </c>
    </row>
    <row r="26" spans="1:13" s="14" customFormat="1" ht="15.75">
      <c r="A26" s="640"/>
      <c r="B26" s="598"/>
      <c r="C26" s="647">
        <f>SUM(C18:C25)</f>
        <v>25</v>
      </c>
      <c r="D26" s="647">
        <f>SUM(D18:D25)</f>
        <v>63</v>
      </c>
      <c r="E26" s="647">
        <f>SUM(E18:E25)</f>
        <v>5845</v>
      </c>
      <c r="F26" s="639"/>
      <c r="G26" s="648">
        <f>SUM(G18:G25)</f>
        <v>6</v>
      </c>
      <c r="H26" s="648">
        <f t="shared" ref="H26:M26" si="1">SUM(H18:H25)</f>
        <v>546</v>
      </c>
      <c r="I26" s="648">
        <f t="shared" si="1"/>
        <v>71531</v>
      </c>
      <c r="J26" s="648">
        <f t="shared" si="1"/>
        <v>0</v>
      </c>
      <c r="K26" s="649">
        <f t="shared" si="1"/>
        <v>0</v>
      </c>
      <c r="L26" s="649">
        <f t="shared" si="1"/>
        <v>0</v>
      </c>
      <c r="M26" s="649">
        <f t="shared" si="1"/>
        <v>0</v>
      </c>
    </row>
    <row r="27" spans="1:13" s="14" customFormat="1" ht="31.5">
      <c r="A27" s="641">
        <v>4</v>
      </c>
      <c r="B27" s="666" t="s">
        <v>1090</v>
      </c>
      <c r="C27" s="638">
        <v>0</v>
      </c>
      <c r="D27" s="638">
        <v>0</v>
      </c>
      <c r="E27" s="638">
        <v>0</v>
      </c>
      <c r="F27" s="639" t="s">
        <v>1091</v>
      </c>
      <c r="G27" s="640">
        <v>1</v>
      </c>
      <c r="H27" s="640">
        <v>551</v>
      </c>
      <c r="I27" s="640">
        <v>115272</v>
      </c>
      <c r="J27" s="640">
        <v>0</v>
      </c>
      <c r="K27" s="638">
        <v>0</v>
      </c>
      <c r="L27" s="638">
        <v>0</v>
      </c>
      <c r="M27" s="638">
        <v>0</v>
      </c>
    </row>
    <row r="28" spans="1:13" s="14" customFormat="1" ht="15.75">
      <c r="A28" s="650"/>
      <c r="B28" s="667"/>
      <c r="C28" s="638"/>
      <c r="D28" s="638"/>
      <c r="E28" s="638"/>
      <c r="F28" s="639"/>
      <c r="G28" s="648">
        <f>SUM(G27)</f>
        <v>1</v>
      </c>
      <c r="H28" s="648">
        <f t="shared" ref="H28:M28" si="2">SUM(H27)</f>
        <v>551</v>
      </c>
      <c r="I28" s="648">
        <f t="shared" si="2"/>
        <v>115272</v>
      </c>
      <c r="J28" s="648">
        <f t="shared" si="2"/>
        <v>0</v>
      </c>
      <c r="K28" s="649">
        <f t="shared" si="2"/>
        <v>0</v>
      </c>
      <c r="L28" s="649">
        <f t="shared" si="2"/>
        <v>0</v>
      </c>
      <c r="M28" s="649">
        <f t="shared" si="2"/>
        <v>0</v>
      </c>
    </row>
    <row r="29" spans="1:13" s="14" customFormat="1" ht="31.5">
      <c r="A29" s="1059">
        <v>5</v>
      </c>
      <c r="B29" s="1061" t="s">
        <v>1092</v>
      </c>
      <c r="C29" s="638">
        <v>0</v>
      </c>
      <c r="D29" s="638">
        <v>0</v>
      </c>
      <c r="E29" s="638">
        <v>0</v>
      </c>
      <c r="F29" s="639" t="s">
        <v>1093</v>
      </c>
      <c r="G29" s="640">
        <v>1</v>
      </c>
      <c r="H29" s="640">
        <v>489</v>
      </c>
      <c r="I29" s="640">
        <v>79287</v>
      </c>
      <c r="J29" s="640"/>
      <c r="K29" s="638"/>
      <c r="L29" s="638"/>
      <c r="M29" s="638"/>
    </row>
    <row r="30" spans="1:13" s="14" customFormat="1" ht="63">
      <c r="A30" s="1076"/>
      <c r="B30" s="1062"/>
      <c r="C30" s="638">
        <v>0</v>
      </c>
      <c r="D30" s="638">
        <v>0</v>
      </c>
      <c r="E30" s="638">
        <v>0</v>
      </c>
      <c r="F30" s="639" t="s">
        <v>1094</v>
      </c>
      <c r="G30" s="640">
        <v>1</v>
      </c>
      <c r="H30" s="640">
        <v>61</v>
      </c>
      <c r="I30" s="640">
        <v>9735</v>
      </c>
      <c r="J30" s="640"/>
      <c r="K30" s="638"/>
      <c r="L30" s="638"/>
      <c r="M30" s="638"/>
    </row>
    <row r="31" spans="1:13" s="14" customFormat="1" ht="15.75">
      <c r="A31" s="1076"/>
      <c r="B31" s="1062"/>
      <c r="C31" s="638">
        <v>0</v>
      </c>
      <c r="D31" s="638">
        <v>0</v>
      </c>
      <c r="E31" s="638">
        <v>0</v>
      </c>
      <c r="F31" s="639" t="s">
        <v>1095</v>
      </c>
      <c r="G31" s="640">
        <v>1</v>
      </c>
      <c r="H31" s="640">
        <v>54</v>
      </c>
      <c r="I31" s="640">
        <v>6402</v>
      </c>
      <c r="J31" s="640"/>
      <c r="K31" s="638"/>
      <c r="L31" s="638"/>
      <c r="M31" s="638"/>
    </row>
    <row r="32" spans="1:13" s="14" customFormat="1" ht="15.75">
      <c r="A32" s="1076"/>
      <c r="B32" s="1062"/>
      <c r="C32" s="638">
        <v>0</v>
      </c>
      <c r="D32" s="638">
        <v>0</v>
      </c>
      <c r="E32" s="638">
        <v>0</v>
      </c>
      <c r="F32" s="639" t="s">
        <v>1096</v>
      </c>
      <c r="G32" s="640">
        <v>1</v>
      </c>
      <c r="H32" s="640">
        <v>92</v>
      </c>
      <c r="I32" s="640">
        <v>10950</v>
      </c>
      <c r="J32" s="640"/>
      <c r="K32" s="638"/>
      <c r="L32" s="638"/>
      <c r="M32" s="638"/>
    </row>
    <row r="33" spans="1:16" s="14" customFormat="1" ht="15.75">
      <c r="A33" s="1076"/>
      <c r="B33" s="1062"/>
      <c r="C33" s="638"/>
      <c r="D33" s="638"/>
      <c r="E33" s="638"/>
      <c r="F33" s="639" t="s">
        <v>1097</v>
      </c>
      <c r="G33" s="640">
        <v>1</v>
      </c>
      <c r="H33" s="640">
        <v>16</v>
      </c>
      <c r="I33" s="640">
        <v>2298</v>
      </c>
      <c r="J33" s="640"/>
      <c r="K33" s="638"/>
      <c r="L33" s="638"/>
      <c r="M33" s="638"/>
    </row>
    <row r="34" spans="1:16" s="14" customFormat="1" ht="15.75">
      <c r="A34" s="1076"/>
      <c r="B34" s="1062"/>
      <c r="C34" s="638"/>
      <c r="D34" s="638"/>
      <c r="E34" s="638"/>
      <c r="F34" s="639" t="s">
        <v>1098</v>
      </c>
      <c r="G34" s="640">
        <v>1</v>
      </c>
      <c r="H34" s="640">
        <v>32</v>
      </c>
      <c r="I34" s="640">
        <v>6635</v>
      </c>
      <c r="J34" s="640"/>
      <c r="K34" s="638"/>
      <c r="L34" s="638"/>
      <c r="M34" s="638"/>
    </row>
    <row r="35" spans="1:16" s="14" customFormat="1" ht="15.75">
      <c r="A35" s="1076"/>
      <c r="B35" s="1062"/>
      <c r="C35" s="638"/>
      <c r="D35" s="638"/>
      <c r="E35" s="638"/>
      <c r="F35" s="639" t="s">
        <v>1099</v>
      </c>
      <c r="G35" s="640">
        <v>1</v>
      </c>
      <c r="H35" s="640">
        <v>29</v>
      </c>
      <c r="I35" s="640">
        <v>2899</v>
      </c>
      <c r="J35" s="640"/>
      <c r="K35" s="638"/>
      <c r="L35" s="638"/>
      <c r="M35" s="638"/>
    </row>
    <row r="36" spans="1:16" s="14" customFormat="1" ht="15.75">
      <c r="A36" s="1076"/>
      <c r="B36" s="1062"/>
      <c r="C36" s="638"/>
      <c r="D36" s="638"/>
      <c r="E36" s="638"/>
      <c r="F36" s="639" t="s">
        <v>1100</v>
      </c>
      <c r="G36" s="640">
        <v>1</v>
      </c>
      <c r="H36" s="640">
        <v>8</v>
      </c>
      <c r="I36" s="640">
        <v>668</v>
      </c>
      <c r="J36" s="640"/>
      <c r="K36" s="638"/>
      <c r="L36" s="638"/>
      <c r="M36" s="638"/>
    </row>
    <row r="37" spans="1:16" s="14" customFormat="1" ht="15.75">
      <c r="A37" s="1076"/>
      <c r="B37" s="1062"/>
      <c r="C37" s="638"/>
      <c r="D37" s="638"/>
      <c r="E37" s="638"/>
      <c r="F37" s="639" t="s">
        <v>1101</v>
      </c>
      <c r="G37" s="640">
        <v>1</v>
      </c>
      <c r="H37" s="640">
        <v>22</v>
      </c>
      <c r="I37" s="640">
        <v>3301</v>
      </c>
      <c r="J37" s="640"/>
      <c r="K37" s="638"/>
      <c r="L37" s="638"/>
      <c r="M37" s="638"/>
    </row>
    <row r="38" spans="1:16" s="14" customFormat="1" ht="31.5">
      <c r="A38" s="1076"/>
      <c r="B38" s="1062"/>
      <c r="C38" s="638"/>
      <c r="D38" s="638"/>
      <c r="E38" s="638"/>
      <c r="F38" s="639" t="s">
        <v>1102</v>
      </c>
      <c r="G38" s="640">
        <v>1</v>
      </c>
      <c r="H38" s="640">
        <v>10</v>
      </c>
      <c r="I38" s="640">
        <v>1624</v>
      </c>
      <c r="J38" s="640"/>
      <c r="K38" s="638"/>
      <c r="L38" s="638"/>
      <c r="M38" s="638"/>
    </row>
    <row r="39" spans="1:16" s="14" customFormat="1" ht="15.75">
      <c r="A39" s="1076"/>
      <c r="B39" s="1062"/>
      <c r="C39" s="638"/>
      <c r="D39" s="638"/>
      <c r="E39" s="638"/>
      <c r="F39" s="639" t="s">
        <v>1103</v>
      </c>
      <c r="G39" s="640">
        <v>1</v>
      </c>
      <c r="H39" s="640">
        <v>2</v>
      </c>
      <c r="I39" s="640">
        <v>157</v>
      </c>
      <c r="J39" s="640"/>
      <c r="K39" s="638"/>
      <c r="L39" s="638"/>
      <c r="M39" s="638"/>
    </row>
    <row r="40" spans="1:16" s="14" customFormat="1" ht="31.5">
      <c r="A40" s="1076"/>
      <c r="B40" s="1062"/>
      <c r="C40" s="638"/>
      <c r="D40" s="638"/>
      <c r="E40" s="638"/>
      <c r="F40" s="639" t="s">
        <v>1104</v>
      </c>
      <c r="G40" s="640">
        <v>1</v>
      </c>
      <c r="H40" s="640">
        <v>5</v>
      </c>
      <c r="I40" s="640">
        <v>833</v>
      </c>
      <c r="J40" s="640"/>
      <c r="K40" s="638"/>
      <c r="L40" s="638"/>
      <c r="M40" s="638"/>
    </row>
    <row r="41" spans="1:16" s="14" customFormat="1" ht="15.75">
      <c r="A41" s="1060"/>
      <c r="B41" s="1063"/>
      <c r="C41" s="638"/>
      <c r="D41" s="638"/>
      <c r="E41" s="638"/>
      <c r="F41" s="639" t="s">
        <v>1105</v>
      </c>
      <c r="G41" s="640">
        <v>1</v>
      </c>
      <c r="H41" s="640">
        <v>10</v>
      </c>
      <c r="I41" s="640">
        <v>1676</v>
      </c>
      <c r="J41" s="640"/>
      <c r="K41" s="638"/>
      <c r="L41" s="638"/>
      <c r="M41" s="638"/>
    </row>
    <row r="42" spans="1:16" s="14" customFormat="1" ht="15.75">
      <c r="A42" s="651"/>
      <c r="B42" s="668"/>
      <c r="C42" s="638"/>
      <c r="D42" s="638"/>
      <c r="E42" s="638"/>
      <c r="F42" s="639"/>
      <c r="G42" s="648">
        <f>SUM(G29:G41)</f>
        <v>13</v>
      </c>
      <c r="H42" s="648">
        <f t="shared" ref="H42:M42" si="3">SUM(H29:H41)</f>
        <v>830</v>
      </c>
      <c r="I42" s="648">
        <f t="shared" si="3"/>
        <v>126465</v>
      </c>
      <c r="J42" s="648">
        <f t="shared" si="3"/>
        <v>0</v>
      </c>
      <c r="K42" s="649">
        <f t="shared" si="3"/>
        <v>0</v>
      </c>
      <c r="L42" s="649">
        <f t="shared" si="3"/>
        <v>0</v>
      </c>
      <c r="M42" s="649">
        <f t="shared" si="3"/>
        <v>0</v>
      </c>
    </row>
    <row r="43" spans="1:16" s="14" customFormat="1" ht="31.5">
      <c r="A43" s="1059">
        <v>6</v>
      </c>
      <c r="B43" s="1061" t="s">
        <v>1106</v>
      </c>
      <c r="C43" s="638">
        <v>0</v>
      </c>
      <c r="D43" s="638">
        <v>0</v>
      </c>
      <c r="E43" s="638">
        <v>0</v>
      </c>
      <c r="F43" s="639" t="s">
        <v>1093</v>
      </c>
      <c r="G43" s="640">
        <v>1</v>
      </c>
      <c r="H43" s="640">
        <v>681</v>
      </c>
      <c r="I43" s="640">
        <v>107629</v>
      </c>
      <c r="J43" s="640"/>
      <c r="K43" s="638"/>
      <c r="L43" s="638"/>
      <c r="M43" s="638"/>
    </row>
    <row r="44" spans="1:16" ht="63">
      <c r="A44" s="1076"/>
      <c r="B44" s="1062"/>
      <c r="C44" s="638">
        <v>0</v>
      </c>
      <c r="D44" s="638">
        <v>0</v>
      </c>
      <c r="E44" s="638">
        <v>0</v>
      </c>
      <c r="F44" s="639" t="s">
        <v>1107</v>
      </c>
      <c r="G44" s="640">
        <v>1</v>
      </c>
      <c r="H44" s="640">
        <v>124</v>
      </c>
      <c r="I44" s="640">
        <v>19830</v>
      </c>
      <c r="J44" s="640"/>
      <c r="K44" s="638"/>
      <c r="L44" s="638"/>
      <c r="M44" s="638"/>
    </row>
    <row r="45" spans="1:16" ht="63">
      <c r="A45" s="1076"/>
      <c r="B45" s="1062"/>
      <c r="C45" s="638">
        <v>0</v>
      </c>
      <c r="D45" s="638">
        <v>0</v>
      </c>
      <c r="E45" s="638">
        <v>0</v>
      </c>
      <c r="F45" s="639" t="s">
        <v>1094</v>
      </c>
      <c r="G45" s="640">
        <v>1</v>
      </c>
      <c r="H45" s="640">
        <v>192</v>
      </c>
      <c r="I45" s="640">
        <v>30271</v>
      </c>
      <c r="J45" s="640"/>
      <c r="K45" s="638"/>
      <c r="L45" s="638"/>
      <c r="M45" s="638"/>
    </row>
    <row r="46" spans="1:16" ht="47.25">
      <c r="A46" s="1076"/>
      <c r="B46" s="1062"/>
      <c r="C46" s="638">
        <v>0</v>
      </c>
      <c r="D46" s="638">
        <v>0</v>
      </c>
      <c r="E46" s="638">
        <v>0</v>
      </c>
      <c r="F46" s="639" t="s">
        <v>1108</v>
      </c>
      <c r="G46" s="640">
        <v>1</v>
      </c>
      <c r="H46" s="640">
        <v>49</v>
      </c>
      <c r="I46" s="640">
        <v>8402</v>
      </c>
      <c r="J46" s="640"/>
      <c r="K46" s="638"/>
      <c r="L46" s="638"/>
      <c r="M46" s="638"/>
    </row>
    <row r="47" spans="1:16" ht="15.75">
      <c r="A47" s="1060"/>
      <c r="B47" s="1062"/>
      <c r="C47" s="638"/>
      <c r="D47" s="638"/>
      <c r="E47" s="638"/>
      <c r="F47" s="639" t="s">
        <v>1109</v>
      </c>
      <c r="G47" s="640">
        <v>1</v>
      </c>
      <c r="H47" s="640">
        <v>48</v>
      </c>
      <c r="I47" s="640">
        <v>7574</v>
      </c>
      <c r="J47" s="640"/>
      <c r="K47" s="638"/>
      <c r="L47" s="638"/>
      <c r="M47" s="638"/>
      <c r="N47" s="86"/>
      <c r="O47" s="86"/>
      <c r="P47" s="86"/>
    </row>
    <row r="48" spans="1:16" ht="15.75">
      <c r="A48" s="652"/>
      <c r="B48" s="1063"/>
      <c r="C48" s="638"/>
      <c r="D48" s="638"/>
      <c r="E48" s="638"/>
      <c r="F48" s="639" t="s">
        <v>1110</v>
      </c>
      <c r="G48" s="640">
        <v>1</v>
      </c>
      <c r="H48" s="640">
        <v>77</v>
      </c>
      <c r="I48" s="640">
        <v>8945</v>
      </c>
      <c r="J48" s="640"/>
      <c r="K48" s="638"/>
      <c r="L48" s="638"/>
      <c r="M48" s="638"/>
      <c r="N48" s="86"/>
      <c r="O48" s="86"/>
      <c r="P48" s="86"/>
    </row>
    <row r="49" spans="1:16" ht="15.75">
      <c r="A49" s="652"/>
      <c r="B49" s="669"/>
      <c r="C49" s="642"/>
      <c r="D49" s="643"/>
      <c r="E49" s="643"/>
      <c r="F49" s="653"/>
      <c r="G49" s="645">
        <f>SUM(G43:G48)</f>
        <v>6</v>
      </c>
      <c r="H49" s="645">
        <f>SUM(H43:H48)</f>
        <v>1171</v>
      </c>
      <c r="I49" s="645">
        <f>SUM(I43:I48)</f>
        <v>182651</v>
      </c>
      <c r="J49" s="645">
        <f>SUM(J43:J47)</f>
        <v>0</v>
      </c>
      <c r="K49" s="646">
        <f>SUM(K43:K47)</f>
        <v>0</v>
      </c>
      <c r="L49" s="646">
        <f>SUM(L43:L47)</f>
        <v>0</v>
      </c>
      <c r="M49" s="646">
        <f>SUM(M43:M47)</f>
        <v>0</v>
      </c>
      <c r="N49" s="86"/>
      <c r="O49" s="86"/>
      <c r="P49" s="86"/>
    </row>
    <row r="50" spans="1:16" ht="15.75">
      <c r="A50" s="641">
        <v>7</v>
      </c>
      <c r="B50" s="666" t="s">
        <v>1000</v>
      </c>
      <c r="C50" s="1058" t="s">
        <v>1083</v>
      </c>
      <c r="D50" s="1058"/>
      <c r="E50" s="1058"/>
      <c r="F50" s="1058"/>
      <c r="G50" s="1058"/>
      <c r="H50" s="1058"/>
      <c r="I50" s="1058"/>
      <c r="J50" s="1058"/>
      <c r="K50" s="1058"/>
      <c r="L50" s="1058"/>
      <c r="M50" s="1058"/>
    </row>
    <row r="51" spans="1:16" ht="31.5">
      <c r="A51" s="641">
        <v>8</v>
      </c>
      <c r="B51" s="666" t="s">
        <v>1111</v>
      </c>
      <c r="C51" s="638">
        <v>0</v>
      </c>
      <c r="D51" s="638">
        <v>0</v>
      </c>
      <c r="E51" s="638">
        <v>0</v>
      </c>
      <c r="F51" s="639" t="s">
        <v>1112</v>
      </c>
      <c r="G51" s="674">
        <v>1</v>
      </c>
      <c r="H51" s="674">
        <v>72</v>
      </c>
      <c r="I51" s="674">
        <v>6124</v>
      </c>
      <c r="J51" s="674">
        <v>0</v>
      </c>
      <c r="K51" s="674">
        <v>0</v>
      </c>
      <c r="L51" s="674">
        <v>0</v>
      </c>
      <c r="M51" s="674">
        <v>0</v>
      </c>
      <c r="N51" s="1050"/>
      <c r="O51" s="1050"/>
      <c r="P51" s="1050"/>
    </row>
    <row r="52" spans="1:16" ht="15.75">
      <c r="A52" s="641"/>
      <c r="B52" s="666"/>
      <c r="C52" s="638"/>
      <c r="D52" s="638"/>
      <c r="E52" s="638"/>
      <c r="F52" s="639"/>
      <c r="G52" s="648">
        <f>SUM(G51)</f>
        <v>1</v>
      </c>
      <c r="H52" s="648">
        <f t="shared" ref="H52:M52" si="4">SUM(H51)</f>
        <v>72</v>
      </c>
      <c r="I52" s="648">
        <f t="shared" si="4"/>
        <v>6124</v>
      </c>
      <c r="J52" s="648">
        <f t="shared" si="4"/>
        <v>0</v>
      </c>
      <c r="K52" s="649">
        <f t="shared" si="4"/>
        <v>0</v>
      </c>
      <c r="L52" s="649">
        <f t="shared" si="4"/>
        <v>0</v>
      </c>
      <c r="M52" s="649">
        <f t="shared" si="4"/>
        <v>0</v>
      </c>
      <c r="N52" s="86"/>
      <c r="O52" s="86"/>
      <c r="P52" s="86"/>
    </row>
    <row r="53" spans="1:16" ht="31.5">
      <c r="A53" s="641">
        <v>9</v>
      </c>
      <c r="B53" s="666" t="s">
        <v>1113</v>
      </c>
      <c r="C53" s="638">
        <v>0</v>
      </c>
      <c r="D53" s="638">
        <v>0</v>
      </c>
      <c r="E53" s="638">
        <v>0</v>
      </c>
      <c r="F53" s="639">
        <v>0</v>
      </c>
      <c r="G53" s="640">
        <v>0</v>
      </c>
      <c r="H53" s="640">
        <v>0</v>
      </c>
      <c r="I53" s="640">
        <v>0</v>
      </c>
      <c r="J53" s="640">
        <v>0</v>
      </c>
      <c r="K53" s="638">
        <v>0</v>
      </c>
      <c r="L53" s="638">
        <v>0</v>
      </c>
      <c r="M53" s="638">
        <v>0</v>
      </c>
      <c r="N53" s="137"/>
      <c r="O53" s="86"/>
      <c r="P53" s="86"/>
    </row>
    <row r="54" spans="1:16" ht="15.75" customHeight="1">
      <c r="A54" s="641"/>
      <c r="B54" s="666"/>
      <c r="C54" s="638"/>
      <c r="D54" s="638"/>
      <c r="E54" s="638"/>
      <c r="F54" s="655"/>
      <c r="G54" s="640"/>
      <c r="H54" s="640"/>
      <c r="I54" s="640"/>
      <c r="J54" s="640"/>
      <c r="K54" s="638"/>
      <c r="L54" s="638"/>
      <c r="M54" s="638"/>
      <c r="N54" s="86"/>
      <c r="O54" s="86"/>
      <c r="P54" s="86"/>
    </row>
    <row r="55" spans="1:16" ht="15.6" customHeight="1">
      <c r="A55" s="641"/>
      <c r="B55" s="666"/>
      <c r="C55" s="638"/>
      <c r="D55" s="638"/>
      <c r="E55" s="638"/>
      <c r="F55" s="655"/>
      <c r="G55" s="648"/>
      <c r="H55" s="648"/>
      <c r="I55" s="648"/>
      <c r="J55" s="648"/>
      <c r="K55" s="649"/>
      <c r="L55" s="649"/>
      <c r="M55" s="649"/>
      <c r="N55" s="137"/>
      <c r="O55" s="86"/>
      <c r="P55" s="86"/>
    </row>
    <row r="56" spans="1:16" ht="31.5">
      <c r="A56" s="641">
        <v>10</v>
      </c>
      <c r="B56" s="666" t="s">
        <v>1114</v>
      </c>
      <c r="C56" s="638">
        <v>0</v>
      </c>
      <c r="D56" s="638">
        <v>0</v>
      </c>
      <c r="E56" s="638">
        <v>0</v>
      </c>
      <c r="F56" s="639">
        <v>0</v>
      </c>
      <c r="G56" s="640">
        <v>0</v>
      </c>
      <c r="H56" s="640">
        <v>0</v>
      </c>
      <c r="I56" s="640">
        <v>0</v>
      </c>
      <c r="J56" s="640">
        <v>0</v>
      </c>
      <c r="K56" s="638">
        <v>0</v>
      </c>
      <c r="L56" s="638">
        <v>0</v>
      </c>
      <c r="M56" s="638">
        <v>0</v>
      </c>
      <c r="N56" s="33"/>
      <c r="O56" s="33"/>
      <c r="P56" s="33"/>
    </row>
    <row r="57" spans="1:16" ht="47.25">
      <c r="A57" s="1071">
        <v>11</v>
      </c>
      <c r="B57" s="1072" t="s">
        <v>1115</v>
      </c>
      <c r="C57" s="638">
        <v>19</v>
      </c>
      <c r="D57" s="638">
        <v>19</v>
      </c>
      <c r="E57" s="638">
        <v>1977</v>
      </c>
      <c r="F57" s="639" t="s">
        <v>1116</v>
      </c>
      <c r="G57" s="640">
        <v>0</v>
      </c>
      <c r="H57" s="640">
        <v>101</v>
      </c>
      <c r="I57" s="640">
        <v>12995</v>
      </c>
      <c r="J57" s="640">
        <v>0</v>
      </c>
      <c r="K57" s="638">
        <v>0</v>
      </c>
      <c r="L57" s="638">
        <v>0</v>
      </c>
      <c r="M57" s="638">
        <v>0</v>
      </c>
    </row>
    <row r="58" spans="1:16" ht="47.25">
      <c r="A58" s="1071"/>
      <c r="B58" s="1072"/>
      <c r="C58" s="638">
        <v>0</v>
      </c>
      <c r="D58" s="638">
        <v>0</v>
      </c>
      <c r="E58" s="638">
        <v>0</v>
      </c>
      <c r="F58" s="639" t="s">
        <v>1116</v>
      </c>
      <c r="G58" s="640">
        <v>1</v>
      </c>
      <c r="H58" s="640">
        <v>202</v>
      </c>
      <c r="I58" s="640">
        <v>24885</v>
      </c>
      <c r="J58" s="640">
        <v>0</v>
      </c>
      <c r="K58" s="638">
        <v>0</v>
      </c>
      <c r="L58" s="638">
        <v>0</v>
      </c>
      <c r="M58" s="638">
        <v>0</v>
      </c>
    </row>
    <row r="59" spans="1:16" ht="31.5">
      <c r="A59" s="1071"/>
      <c r="B59" s="1072"/>
      <c r="C59" s="647">
        <v>6</v>
      </c>
      <c r="D59" s="647">
        <v>59</v>
      </c>
      <c r="E59" s="647">
        <v>8029</v>
      </c>
      <c r="F59" s="639" t="s">
        <v>1117</v>
      </c>
      <c r="G59" s="640">
        <v>1</v>
      </c>
      <c r="H59" s="640">
        <v>84</v>
      </c>
      <c r="I59" s="640">
        <v>9559</v>
      </c>
      <c r="J59" s="640">
        <v>0</v>
      </c>
      <c r="K59" s="638">
        <v>0</v>
      </c>
      <c r="L59" s="638">
        <v>0</v>
      </c>
      <c r="M59" s="638">
        <v>0</v>
      </c>
    </row>
    <row r="60" spans="1:16" ht="47.25">
      <c r="A60" s="1071"/>
      <c r="B60" s="1072"/>
      <c r="C60" s="638"/>
      <c r="D60" s="638"/>
      <c r="E60" s="638"/>
      <c r="F60" s="639" t="s">
        <v>1118</v>
      </c>
      <c r="G60" s="640">
        <v>1</v>
      </c>
      <c r="H60" s="640">
        <v>32</v>
      </c>
      <c r="I60" s="640">
        <v>2441</v>
      </c>
      <c r="J60" s="640">
        <v>0</v>
      </c>
      <c r="K60" s="638">
        <v>0</v>
      </c>
      <c r="L60" s="638">
        <v>0</v>
      </c>
      <c r="M60" s="638">
        <v>0</v>
      </c>
    </row>
    <row r="61" spans="1:16" ht="15.75">
      <c r="A61" s="640"/>
      <c r="B61" s="598"/>
      <c r="C61" s="656">
        <f>SUM(C57:C60)</f>
        <v>25</v>
      </c>
      <c r="D61" s="656">
        <f>SUM(D57:D60)</f>
        <v>78</v>
      </c>
      <c r="E61" s="656">
        <f>SUM(E57:E60)</f>
        <v>10006</v>
      </c>
      <c r="F61" s="653"/>
      <c r="G61" s="648">
        <f>SUM(G57:G60)</f>
        <v>3</v>
      </c>
      <c r="H61" s="648">
        <f t="shared" ref="H61:M61" si="5">SUM(H57:H60)</f>
        <v>419</v>
      </c>
      <c r="I61" s="648">
        <f t="shared" si="5"/>
        <v>49880</v>
      </c>
      <c r="J61" s="648">
        <f t="shared" si="5"/>
        <v>0</v>
      </c>
      <c r="K61" s="649">
        <f t="shared" si="5"/>
        <v>0</v>
      </c>
      <c r="L61" s="649">
        <f t="shared" si="5"/>
        <v>0</v>
      </c>
      <c r="M61" s="649">
        <f t="shared" si="5"/>
        <v>0</v>
      </c>
    </row>
    <row r="62" spans="1:16" ht="15.75">
      <c r="A62" s="641">
        <v>12</v>
      </c>
      <c r="B62" s="666" t="s">
        <v>963</v>
      </c>
      <c r="C62" s="642" t="s">
        <v>1083</v>
      </c>
      <c r="D62" s="643"/>
      <c r="E62" s="643"/>
      <c r="F62" s="644"/>
      <c r="G62" s="640"/>
      <c r="H62" s="640"/>
      <c r="I62" s="640"/>
      <c r="J62" s="640"/>
      <c r="K62" s="638"/>
      <c r="L62" s="638"/>
      <c r="M62" s="638"/>
    </row>
    <row r="63" spans="1:16" ht="31.5">
      <c r="A63" s="641">
        <v>13</v>
      </c>
      <c r="B63" s="666" t="s">
        <v>1002</v>
      </c>
      <c r="C63" s="638"/>
      <c r="D63" s="638"/>
      <c r="E63" s="638"/>
      <c r="F63" s="672" t="s">
        <v>1067</v>
      </c>
      <c r="G63" s="640">
        <v>1</v>
      </c>
      <c r="H63" s="640">
        <v>135</v>
      </c>
      <c r="I63" s="640">
        <v>9867</v>
      </c>
      <c r="J63" s="640"/>
      <c r="K63" s="638"/>
      <c r="L63" s="638"/>
      <c r="M63" s="638"/>
    </row>
    <row r="64" spans="1:16" ht="15.75">
      <c r="A64" s="641"/>
      <c r="B64" s="666"/>
      <c r="C64" s="642"/>
      <c r="D64" s="643"/>
      <c r="E64" s="643"/>
      <c r="F64" s="653"/>
      <c r="G64" s="648">
        <f>SUM(G63)</f>
        <v>1</v>
      </c>
      <c r="H64" s="648">
        <f t="shared" ref="H64:M64" si="6">SUM(H63)</f>
        <v>135</v>
      </c>
      <c r="I64" s="648">
        <f t="shared" si="6"/>
        <v>9867</v>
      </c>
      <c r="J64" s="648">
        <f t="shared" si="6"/>
        <v>0</v>
      </c>
      <c r="K64" s="649">
        <f t="shared" si="6"/>
        <v>0</v>
      </c>
      <c r="L64" s="649">
        <f t="shared" si="6"/>
        <v>0</v>
      </c>
      <c r="M64" s="649">
        <f t="shared" si="6"/>
        <v>0</v>
      </c>
    </row>
    <row r="65" spans="1:13" ht="15.75">
      <c r="A65" s="641">
        <v>14</v>
      </c>
      <c r="B65" s="666" t="s">
        <v>964</v>
      </c>
      <c r="C65" s="642" t="s">
        <v>1083</v>
      </c>
      <c r="D65" s="643"/>
      <c r="E65" s="643"/>
      <c r="F65" s="644"/>
      <c r="G65" s="640"/>
      <c r="H65" s="640"/>
      <c r="I65" s="640"/>
      <c r="J65" s="640"/>
      <c r="K65" s="638"/>
      <c r="L65" s="638"/>
      <c r="M65" s="638"/>
    </row>
    <row r="66" spans="1:13" ht="15.75">
      <c r="A66" s="1059">
        <v>15</v>
      </c>
      <c r="B66" s="1069" t="s">
        <v>1003</v>
      </c>
      <c r="C66" s="638"/>
      <c r="D66" s="638"/>
      <c r="E66" s="638"/>
      <c r="F66" s="639" t="s">
        <v>1119</v>
      </c>
      <c r="G66" s="640">
        <v>1</v>
      </c>
      <c r="H66" s="1059">
        <v>1066</v>
      </c>
      <c r="I66" s="640">
        <v>120580</v>
      </c>
      <c r="J66" s="640"/>
      <c r="K66" s="638"/>
      <c r="L66" s="638"/>
      <c r="M66" s="638"/>
    </row>
    <row r="67" spans="1:13" ht="41.25" customHeight="1">
      <c r="A67" s="1060"/>
      <c r="B67" s="1070"/>
      <c r="C67" s="638"/>
      <c r="D67" s="638"/>
      <c r="E67" s="638"/>
      <c r="F67" s="639" t="s">
        <v>1120</v>
      </c>
      <c r="G67" s="640">
        <v>1</v>
      </c>
      <c r="H67" s="1060"/>
      <c r="I67" s="640">
        <v>40136</v>
      </c>
      <c r="J67" s="640"/>
      <c r="K67" s="638"/>
      <c r="L67" s="638"/>
      <c r="M67" s="638"/>
    </row>
    <row r="68" spans="1:13" ht="15.75">
      <c r="A68" s="641"/>
      <c r="B68" s="666"/>
      <c r="C68" s="642"/>
      <c r="D68" s="643"/>
      <c r="E68" s="643"/>
      <c r="F68" s="653"/>
      <c r="G68" s="645">
        <f>SUM(G66:G67)</f>
        <v>2</v>
      </c>
      <c r="H68" s="645">
        <f t="shared" ref="H68:M68" si="7">SUM(H66:H67)</f>
        <v>1066</v>
      </c>
      <c r="I68" s="645">
        <f t="shared" si="7"/>
        <v>160716</v>
      </c>
      <c r="J68" s="645">
        <f t="shared" si="7"/>
        <v>0</v>
      </c>
      <c r="K68" s="646">
        <f t="shared" si="7"/>
        <v>0</v>
      </c>
      <c r="L68" s="646">
        <f t="shared" si="7"/>
        <v>0</v>
      </c>
      <c r="M68" s="646">
        <f t="shared" si="7"/>
        <v>0</v>
      </c>
    </row>
    <row r="69" spans="1:13" ht="15.75">
      <c r="A69" s="641">
        <v>16</v>
      </c>
      <c r="B69" s="666" t="s">
        <v>972</v>
      </c>
      <c r="C69" s="638" t="s">
        <v>1083</v>
      </c>
      <c r="D69" s="638"/>
      <c r="E69" s="638"/>
      <c r="F69" s="644"/>
      <c r="G69" s="644"/>
      <c r="H69" s="644"/>
      <c r="I69" s="644"/>
      <c r="J69" s="644"/>
      <c r="K69" s="643"/>
      <c r="L69" s="643"/>
      <c r="M69" s="654"/>
    </row>
    <row r="70" spans="1:13" ht="15.75">
      <c r="A70" s="641">
        <v>17</v>
      </c>
      <c r="B70" s="666" t="s">
        <v>1004</v>
      </c>
      <c r="C70" s="640">
        <v>0</v>
      </c>
      <c r="D70" s="640">
        <v>0</v>
      </c>
      <c r="E70" s="640">
        <v>0</v>
      </c>
      <c r="F70" s="640"/>
      <c r="G70" s="639">
        <v>0</v>
      </c>
      <c r="H70" s="640">
        <v>0</v>
      </c>
      <c r="I70" s="640">
        <v>0</v>
      </c>
      <c r="J70" s="640"/>
      <c r="K70" s="640">
        <v>0</v>
      </c>
      <c r="L70" s="640">
        <v>0</v>
      </c>
      <c r="M70" s="640">
        <v>0</v>
      </c>
    </row>
    <row r="71" spans="1:13" ht="15.75">
      <c r="A71" s="641"/>
      <c r="B71" s="1061" t="s">
        <v>1005</v>
      </c>
      <c r="C71" s="640">
        <v>0</v>
      </c>
      <c r="D71" s="640">
        <v>0</v>
      </c>
      <c r="E71" s="640">
        <v>0</v>
      </c>
      <c r="F71" s="1064" t="s">
        <v>1121</v>
      </c>
      <c r="G71" s="1064">
        <v>1</v>
      </c>
      <c r="H71" s="640">
        <v>13</v>
      </c>
      <c r="I71" s="640">
        <v>2415</v>
      </c>
      <c r="J71" s="640">
        <v>0</v>
      </c>
      <c r="K71" s="640">
        <v>0</v>
      </c>
      <c r="L71" s="640">
        <v>0</v>
      </c>
      <c r="M71" s="640">
        <v>0</v>
      </c>
    </row>
    <row r="72" spans="1:13" ht="15.75">
      <c r="A72" s="641"/>
      <c r="B72" s="1062"/>
      <c r="C72" s="640">
        <v>0</v>
      </c>
      <c r="D72" s="640">
        <v>0</v>
      </c>
      <c r="E72" s="640">
        <v>0</v>
      </c>
      <c r="F72" s="1065"/>
      <c r="G72" s="1065"/>
      <c r="H72" s="640">
        <v>1</v>
      </c>
      <c r="I72" s="640">
        <v>158</v>
      </c>
      <c r="J72" s="640">
        <v>0</v>
      </c>
      <c r="K72" s="640">
        <v>0</v>
      </c>
      <c r="L72" s="640">
        <v>0</v>
      </c>
      <c r="M72" s="640">
        <v>0</v>
      </c>
    </row>
    <row r="73" spans="1:13" ht="15.75">
      <c r="A73" s="641"/>
      <c r="B73" s="1062"/>
      <c r="C73" s="640">
        <v>0</v>
      </c>
      <c r="D73" s="640">
        <v>0</v>
      </c>
      <c r="E73" s="640">
        <v>0</v>
      </c>
      <c r="F73" s="1065"/>
      <c r="G73" s="1065"/>
      <c r="H73" s="640">
        <v>0</v>
      </c>
      <c r="I73" s="640">
        <v>0</v>
      </c>
      <c r="J73" s="640">
        <v>0</v>
      </c>
      <c r="K73" s="640">
        <v>0</v>
      </c>
      <c r="L73" s="640">
        <v>0</v>
      </c>
      <c r="M73" s="640">
        <v>0</v>
      </c>
    </row>
    <row r="74" spans="1:13" ht="15.75">
      <c r="A74" s="641"/>
      <c r="B74" s="1062"/>
      <c r="C74" s="640">
        <v>0</v>
      </c>
      <c r="D74" s="640">
        <v>0</v>
      </c>
      <c r="E74" s="640">
        <v>0</v>
      </c>
      <c r="F74" s="1065"/>
      <c r="G74" s="1065"/>
      <c r="H74" s="640">
        <v>0</v>
      </c>
      <c r="I74" s="640">
        <v>0</v>
      </c>
      <c r="J74" s="640">
        <v>0</v>
      </c>
      <c r="K74" s="640">
        <v>0</v>
      </c>
      <c r="L74" s="640">
        <v>0</v>
      </c>
      <c r="M74" s="640">
        <v>0</v>
      </c>
    </row>
    <row r="75" spans="1:13" ht="15.75">
      <c r="A75" s="641"/>
      <c r="B75" s="1062"/>
      <c r="C75" s="640">
        <v>0</v>
      </c>
      <c r="D75" s="640">
        <v>0</v>
      </c>
      <c r="E75" s="640">
        <v>0</v>
      </c>
      <c r="F75" s="1065"/>
      <c r="G75" s="1065"/>
      <c r="H75" s="640">
        <v>8</v>
      </c>
      <c r="I75" s="640">
        <v>1425</v>
      </c>
      <c r="J75" s="640">
        <v>0</v>
      </c>
      <c r="K75" s="640">
        <v>0</v>
      </c>
      <c r="L75" s="640">
        <v>0</v>
      </c>
      <c r="M75" s="640">
        <v>0</v>
      </c>
    </row>
    <row r="76" spans="1:13" ht="15.75">
      <c r="A76" s="641"/>
      <c r="B76" s="1062"/>
      <c r="C76" s="640">
        <v>0</v>
      </c>
      <c r="D76" s="640">
        <v>0</v>
      </c>
      <c r="E76" s="640">
        <v>0</v>
      </c>
      <c r="F76" s="1065"/>
      <c r="G76" s="1065"/>
      <c r="H76" s="640">
        <v>35</v>
      </c>
      <c r="I76" s="640">
        <v>6269</v>
      </c>
      <c r="J76" s="640">
        <v>0</v>
      </c>
      <c r="K76" s="640">
        <v>0</v>
      </c>
      <c r="L76" s="640">
        <v>0</v>
      </c>
      <c r="M76" s="640">
        <v>0</v>
      </c>
    </row>
    <row r="77" spans="1:13" ht="15.75">
      <c r="A77" s="641">
        <v>18</v>
      </c>
      <c r="B77" s="1063"/>
      <c r="C77" s="640">
        <v>0</v>
      </c>
      <c r="D77" s="640">
        <v>0</v>
      </c>
      <c r="E77" s="640">
        <v>0</v>
      </c>
      <c r="F77" s="1066"/>
      <c r="G77" s="1066"/>
      <c r="H77" s="640">
        <v>0</v>
      </c>
      <c r="I77" s="640">
        <v>0</v>
      </c>
      <c r="J77" s="640"/>
      <c r="K77" s="640">
        <v>0</v>
      </c>
      <c r="L77" s="640">
        <v>0</v>
      </c>
      <c r="M77" s="640">
        <v>0</v>
      </c>
    </row>
    <row r="78" spans="1:13" ht="15.75">
      <c r="A78" s="641"/>
      <c r="B78" s="669"/>
      <c r="C78" s="640"/>
      <c r="D78" s="640"/>
      <c r="E78" s="640"/>
      <c r="F78" s="657"/>
      <c r="G78" s="648">
        <f>SUM(G71:G77)</f>
        <v>1</v>
      </c>
      <c r="H78" s="648">
        <f t="shared" ref="H78:M78" si="8">SUM(H71:H77)</f>
        <v>57</v>
      </c>
      <c r="I78" s="648">
        <f t="shared" si="8"/>
        <v>10267</v>
      </c>
      <c r="J78" s="648">
        <f t="shared" si="8"/>
        <v>0</v>
      </c>
      <c r="K78" s="648">
        <f t="shared" si="8"/>
        <v>0</v>
      </c>
      <c r="L78" s="648">
        <f t="shared" si="8"/>
        <v>0</v>
      </c>
      <c r="M78" s="648">
        <f t="shared" si="8"/>
        <v>0</v>
      </c>
    </row>
    <row r="79" spans="1:13" ht="15.75">
      <c r="A79" s="1073">
        <v>19</v>
      </c>
      <c r="B79" s="1072" t="s">
        <v>1122</v>
      </c>
      <c r="C79" s="638">
        <v>0</v>
      </c>
      <c r="D79" s="638">
        <v>0</v>
      </c>
      <c r="E79" s="638">
        <v>0</v>
      </c>
      <c r="F79" s="709" t="s">
        <v>1123</v>
      </c>
      <c r="G79" s="673">
        <v>1</v>
      </c>
      <c r="H79" s="673">
        <v>5</v>
      </c>
      <c r="I79" s="673">
        <v>1049</v>
      </c>
      <c r="J79" s="673">
        <v>0</v>
      </c>
      <c r="K79" s="673">
        <v>0</v>
      </c>
      <c r="L79" s="673">
        <v>0</v>
      </c>
      <c r="M79" s="673">
        <v>0</v>
      </c>
    </row>
    <row r="80" spans="1:13" ht="15.75">
      <c r="A80" s="1074"/>
      <c r="B80" s="1072"/>
      <c r="C80" s="638"/>
      <c r="D80" s="638"/>
      <c r="E80" s="638"/>
      <c r="F80" s="709" t="s">
        <v>1124</v>
      </c>
      <c r="G80" s="673">
        <v>1</v>
      </c>
      <c r="H80" s="673">
        <v>3</v>
      </c>
      <c r="I80" s="673">
        <v>370</v>
      </c>
      <c r="J80" s="673">
        <v>0</v>
      </c>
      <c r="K80" s="673">
        <v>0</v>
      </c>
      <c r="L80" s="673">
        <v>0</v>
      </c>
      <c r="M80" s="673">
        <v>0</v>
      </c>
    </row>
    <row r="81" spans="1:13" ht="15.75">
      <c r="A81" s="1074"/>
      <c r="B81" s="1072"/>
      <c r="C81" s="638"/>
      <c r="D81" s="638"/>
      <c r="E81" s="638"/>
      <c r="F81" s="709" t="s">
        <v>1125</v>
      </c>
      <c r="G81" s="673">
        <v>1</v>
      </c>
      <c r="H81" s="673">
        <v>1</v>
      </c>
      <c r="I81" s="673">
        <v>156</v>
      </c>
      <c r="J81" s="673">
        <v>0</v>
      </c>
      <c r="K81" s="673">
        <v>0</v>
      </c>
      <c r="L81" s="673">
        <v>0</v>
      </c>
      <c r="M81" s="673">
        <v>0</v>
      </c>
    </row>
    <row r="82" spans="1:13" ht="31.5">
      <c r="A82" s="1074"/>
      <c r="B82" s="1072"/>
      <c r="C82" s="638"/>
      <c r="D82" s="638"/>
      <c r="E82" s="638"/>
      <c r="F82" s="709" t="s">
        <v>1126</v>
      </c>
      <c r="G82" s="673">
        <v>1</v>
      </c>
      <c r="H82" s="673">
        <v>24</v>
      </c>
      <c r="I82" s="673">
        <v>5030</v>
      </c>
      <c r="J82" s="676" t="s">
        <v>1127</v>
      </c>
      <c r="K82" s="673">
        <v>1</v>
      </c>
      <c r="L82" s="673">
        <v>75</v>
      </c>
      <c r="M82" s="673">
        <v>9069</v>
      </c>
    </row>
    <row r="83" spans="1:13" ht="63.75">
      <c r="A83" s="1074"/>
      <c r="B83" s="1072"/>
      <c r="C83" s="638"/>
      <c r="D83" s="638">
        <v>0</v>
      </c>
      <c r="E83" s="638"/>
      <c r="F83" s="709" t="s">
        <v>1128</v>
      </c>
      <c r="G83" s="673">
        <v>1</v>
      </c>
      <c r="H83" s="673">
        <v>9</v>
      </c>
      <c r="I83" s="673">
        <v>1098</v>
      </c>
      <c r="J83" s="676" t="s">
        <v>1129</v>
      </c>
      <c r="K83" s="673">
        <v>1</v>
      </c>
      <c r="L83" s="673">
        <v>15</v>
      </c>
      <c r="M83" s="673">
        <v>3168</v>
      </c>
    </row>
    <row r="84" spans="1:13" ht="15.75">
      <c r="A84" s="1074"/>
      <c r="B84" s="1072"/>
      <c r="C84" s="638"/>
      <c r="D84" s="638"/>
      <c r="E84" s="638"/>
      <c r="F84" s="709" t="s">
        <v>1130</v>
      </c>
      <c r="G84" s="673">
        <v>1</v>
      </c>
      <c r="H84" s="673">
        <v>24</v>
      </c>
      <c r="I84" s="673">
        <v>3417</v>
      </c>
      <c r="J84" s="673">
        <v>0</v>
      </c>
      <c r="K84" s="673">
        <v>0</v>
      </c>
      <c r="L84" s="673">
        <v>0</v>
      </c>
      <c r="M84" s="673">
        <v>0</v>
      </c>
    </row>
    <row r="85" spans="1:13" ht="31.5">
      <c r="A85" s="1074"/>
      <c r="B85" s="1072"/>
      <c r="C85" s="638"/>
      <c r="D85" s="638"/>
      <c r="E85" s="638"/>
      <c r="F85" s="709" t="s">
        <v>1131</v>
      </c>
      <c r="G85" s="673">
        <v>1</v>
      </c>
      <c r="H85" s="673">
        <v>13</v>
      </c>
      <c r="I85" s="673">
        <v>3446</v>
      </c>
      <c r="J85" s="673">
        <v>0</v>
      </c>
      <c r="K85" s="673">
        <v>0</v>
      </c>
      <c r="L85" s="673">
        <v>0</v>
      </c>
      <c r="M85" s="673">
        <v>0</v>
      </c>
    </row>
    <row r="86" spans="1:13" ht="31.5">
      <c r="A86" s="1074"/>
      <c r="B86" s="1072"/>
      <c r="C86" s="638"/>
      <c r="D86" s="638"/>
      <c r="E86" s="638"/>
      <c r="F86" s="709" t="s">
        <v>1132</v>
      </c>
      <c r="G86" s="673">
        <v>1</v>
      </c>
      <c r="H86" s="673">
        <v>21</v>
      </c>
      <c r="I86" s="673">
        <v>2196</v>
      </c>
      <c r="J86" s="673">
        <v>0</v>
      </c>
      <c r="K86" s="673">
        <v>0</v>
      </c>
      <c r="L86" s="673">
        <v>0</v>
      </c>
      <c r="M86" s="673">
        <v>0</v>
      </c>
    </row>
    <row r="87" spans="1:13" ht="31.5">
      <c r="A87" s="1074"/>
      <c r="B87" s="1072"/>
      <c r="C87" s="638">
        <v>0</v>
      </c>
      <c r="D87" s="638">
        <v>0</v>
      </c>
      <c r="E87" s="638">
        <v>0</v>
      </c>
      <c r="F87" s="709" t="s">
        <v>1120</v>
      </c>
      <c r="G87" s="711">
        <v>1</v>
      </c>
      <c r="H87" s="640">
        <v>68</v>
      </c>
      <c r="I87" s="640">
        <v>7490</v>
      </c>
      <c r="J87" s="640">
        <v>0</v>
      </c>
      <c r="K87" s="638">
        <v>0</v>
      </c>
      <c r="L87" s="638">
        <v>0</v>
      </c>
      <c r="M87" s="638">
        <v>0</v>
      </c>
    </row>
    <row r="88" spans="1:13" ht="15.75">
      <c r="A88" s="1074"/>
      <c r="B88" s="1072"/>
      <c r="C88" s="638">
        <v>0</v>
      </c>
      <c r="D88" s="638">
        <v>0</v>
      </c>
      <c r="E88" s="638">
        <v>0</v>
      </c>
      <c r="F88" s="709" t="s">
        <v>1133</v>
      </c>
      <c r="G88" s="673">
        <v>1</v>
      </c>
      <c r="H88" s="673">
        <v>16</v>
      </c>
      <c r="I88" s="673">
        <v>2358</v>
      </c>
      <c r="J88" s="673">
        <v>0</v>
      </c>
      <c r="K88" s="673">
        <v>0</v>
      </c>
      <c r="L88" s="673">
        <v>0</v>
      </c>
      <c r="M88" s="673">
        <v>0</v>
      </c>
    </row>
    <row r="89" spans="1:13" s="675" customFormat="1" ht="15.75">
      <c r="A89" s="1074"/>
      <c r="B89" s="1072"/>
      <c r="C89" s="638"/>
      <c r="D89" s="638"/>
      <c r="E89" s="638"/>
      <c r="F89" s="709" t="s">
        <v>1162</v>
      </c>
      <c r="G89" s="673">
        <v>1</v>
      </c>
      <c r="H89" s="673">
        <v>13</v>
      </c>
      <c r="I89" s="673">
        <v>1803</v>
      </c>
      <c r="J89" s="673"/>
      <c r="K89" s="673"/>
      <c r="L89" s="673"/>
      <c r="M89" s="673"/>
    </row>
    <row r="90" spans="1:13" ht="15.75">
      <c r="A90" s="1075"/>
      <c r="B90" s="1072"/>
      <c r="C90" s="638"/>
      <c r="D90" s="638">
        <v>0</v>
      </c>
      <c r="E90" s="638"/>
      <c r="F90" s="709" t="s">
        <v>1134</v>
      </c>
      <c r="G90" s="673">
        <v>1</v>
      </c>
      <c r="H90" s="673">
        <v>1</v>
      </c>
      <c r="I90" s="673">
        <v>381</v>
      </c>
      <c r="J90" s="673">
        <v>0</v>
      </c>
      <c r="K90" s="673">
        <v>0</v>
      </c>
      <c r="L90" s="673">
        <v>0</v>
      </c>
      <c r="M90" s="673">
        <v>0</v>
      </c>
    </row>
    <row r="91" spans="1:13" ht="15.75">
      <c r="A91" s="640"/>
      <c r="B91" s="598"/>
      <c r="C91" s="638"/>
      <c r="D91" s="638"/>
      <c r="E91" s="638"/>
      <c r="F91" s="639"/>
      <c r="G91" s="648">
        <f>SUM(G79:G90)</f>
        <v>12</v>
      </c>
      <c r="H91" s="648">
        <f t="shared" ref="H91:M91" si="9">SUM(H79:H90)</f>
        <v>198</v>
      </c>
      <c r="I91" s="648">
        <f t="shared" si="9"/>
        <v>28794</v>
      </c>
      <c r="J91" s="648">
        <f t="shared" si="9"/>
        <v>0</v>
      </c>
      <c r="K91" s="649">
        <f t="shared" si="9"/>
        <v>2</v>
      </c>
      <c r="L91" s="649">
        <v>72</v>
      </c>
      <c r="M91" s="649">
        <f t="shared" si="9"/>
        <v>12237</v>
      </c>
    </row>
    <row r="92" spans="1:13" ht="15.75">
      <c r="A92" s="641">
        <v>20</v>
      </c>
      <c r="B92" s="666" t="s">
        <v>1006</v>
      </c>
      <c r="C92" s="638">
        <v>0</v>
      </c>
      <c r="D92" s="638">
        <v>0</v>
      </c>
      <c r="E92" s="638">
        <v>0</v>
      </c>
      <c r="F92" s="639">
        <v>0</v>
      </c>
      <c r="G92" s="640">
        <v>0</v>
      </c>
      <c r="H92" s="640">
        <v>0</v>
      </c>
      <c r="I92" s="640">
        <v>0</v>
      </c>
      <c r="J92" s="640">
        <v>0</v>
      </c>
      <c r="K92" s="638">
        <v>0</v>
      </c>
      <c r="L92" s="638">
        <v>0</v>
      </c>
      <c r="M92" s="638">
        <v>0</v>
      </c>
    </row>
    <row r="93" spans="1:13" ht="15.75">
      <c r="A93" s="641">
        <v>21</v>
      </c>
      <c r="B93" s="666" t="s">
        <v>967</v>
      </c>
      <c r="C93" s="638">
        <v>0</v>
      </c>
      <c r="D93" s="638">
        <v>0</v>
      </c>
      <c r="E93" s="638">
        <v>0</v>
      </c>
      <c r="F93" s="639">
        <v>0</v>
      </c>
      <c r="G93" s="640">
        <v>0</v>
      </c>
      <c r="H93" s="640">
        <v>0</v>
      </c>
      <c r="I93" s="640">
        <v>0</v>
      </c>
      <c r="J93" s="640">
        <v>0</v>
      </c>
      <c r="K93" s="638">
        <v>0</v>
      </c>
      <c r="L93" s="638">
        <v>0</v>
      </c>
      <c r="M93" s="638">
        <v>0</v>
      </c>
    </row>
    <row r="94" spans="1:13" ht="15.75">
      <c r="A94" s="641">
        <v>22</v>
      </c>
      <c r="B94" s="666" t="s">
        <v>978</v>
      </c>
      <c r="C94" s="638">
        <v>0</v>
      </c>
      <c r="D94" s="638">
        <v>0</v>
      </c>
      <c r="E94" s="638">
        <v>0</v>
      </c>
      <c r="F94" s="639">
        <v>0</v>
      </c>
      <c r="G94" s="640">
        <v>0</v>
      </c>
      <c r="H94" s="640">
        <v>0</v>
      </c>
      <c r="I94" s="640">
        <v>0</v>
      </c>
      <c r="J94" s="640">
        <v>0</v>
      </c>
      <c r="K94" s="638">
        <v>0</v>
      </c>
      <c r="L94" s="638">
        <v>0</v>
      </c>
      <c r="M94" s="638">
        <v>0</v>
      </c>
    </row>
    <row r="95" spans="1:13" ht="15.75">
      <c r="A95" s="641">
        <v>23</v>
      </c>
      <c r="B95" s="666" t="s">
        <v>1135</v>
      </c>
      <c r="C95" s="638">
        <v>0</v>
      </c>
      <c r="D95" s="638">
        <v>0</v>
      </c>
      <c r="E95" s="638">
        <v>0</v>
      </c>
      <c r="F95" s="639">
        <v>0</v>
      </c>
      <c r="G95" s="640">
        <v>0</v>
      </c>
      <c r="H95" s="640">
        <v>0</v>
      </c>
      <c r="I95" s="640">
        <v>0</v>
      </c>
      <c r="J95" s="640">
        <v>0</v>
      </c>
      <c r="K95" s="638">
        <v>0</v>
      </c>
      <c r="L95" s="638">
        <v>0</v>
      </c>
      <c r="M95" s="638">
        <v>0</v>
      </c>
    </row>
    <row r="96" spans="1:13" ht="15.75">
      <c r="A96" s="641">
        <v>24</v>
      </c>
      <c r="B96" s="666" t="s">
        <v>1007</v>
      </c>
      <c r="C96" s="642" t="s">
        <v>1136</v>
      </c>
      <c r="D96" s="643"/>
      <c r="E96" s="643"/>
      <c r="F96" s="644"/>
      <c r="G96" s="644"/>
      <c r="H96" s="644"/>
      <c r="I96" s="644"/>
      <c r="J96" s="644"/>
      <c r="K96" s="643"/>
      <c r="L96" s="643"/>
      <c r="M96" s="654"/>
    </row>
    <row r="97" spans="1:13" ht="15.75">
      <c r="A97" s="1071">
        <v>25</v>
      </c>
      <c r="B97" s="1072" t="s">
        <v>1137</v>
      </c>
      <c r="C97" s="638">
        <v>0</v>
      </c>
      <c r="D97" s="638">
        <v>0</v>
      </c>
      <c r="E97" s="638">
        <v>0</v>
      </c>
      <c r="F97" s="639">
        <v>0</v>
      </c>
      <c r="G97" s="640">
        <v>0</v>
      </c>
      <c r="H97" s="640">
        <v>0</v>
      </c>
      <c r="I97" s="640">
        <v>0</v>
      </c>
      <c r="J97" s="640">
        <v>0</v>
      </c>
      <c r="K97" s="638">
        <v>0</v>
      </c>
      <c r="L97" s="638">
        <v>0</v>
      </c>
      <c r="M97" s="638">
        <v>0</v>
      </c>
    </row>
    <row r="98" spans="1:13" ht="15.75">
      <c r="A98" s="1071"/>
      <c r="B98" s="1072"/>
      <c r="C98" s="638">
        <v>0</v>
      </c>
      <c r="D98" s="638">
        <v>0</v>
      </c>
      <c r="E98" s="638">
        <v>0</v>
      </c>
      <c r="F98" s="639">
        <v>0</v>
      </c>
      <c r="G98" s="640">
        <v>0</v>
      </c>
      <c r="H98" s="640">
        <v>0</v>
      </c>
      <c r="I98" s="640">
        <v>0</v>
      </c>
      <c r="J98" s="640">
        <v>0</v>
      </c>
      <c r="K98" s="638">
        <v>0</v>
      </c>
      <c r="L98" s="638">
        <v>0</v>
      </c>
      <c r="M98" s="638">
        <v>0</v>
      </c>
    </row>
    <row r="99" spans="1:13" ht="15.75">
      <c r="A99" s="1071"/>
      <c r="B99" s="1072"/>
      <c r="C99" s="638">
        <v>0</v>
      </c>
      <c r="D99" s="638">
        <v>0</v>
      </c>
      <c r="E99" s="638">
        <v>0</v>
      </c>
      <c r="F99" s="639">
        <v>0</v>
      </c>
      <c r="G99" s="640">
        <v>0</v>
      </c>
      <c r="H99" s="640">
        <v>0</v>
      </c>
      <c r="I99" s="640">
        <v>0</v>
      </c>
      <c r="J99" s="640">
        <v>0</v>
      </c>
      <c r="K99" s="638">
        <v>0</v>
      </c>
      <c r="L99" s="638">
        <v>0</v>
      </c>
      <c r="M99" s="638">
        <v>0</v>
      </c>
    </row>
    <row r="100" spans="1:13" ht="15.75">
      <c r="A100" s="1071"/>
      <c r="B100" s="1072"/>
      <c r="C100" s="638">
        <v>0</v>
      </c>
      <c r="D100" s="638">
        <v>0</v>
      </c>
      <c r="E100" s="638">
        <v>0</v>
      </c>
      <c r="F100" s="639" t="s">
        <v>1138</v>
      </c>
      <c r="G100" s="640">
        <v>1</v>
      </c>
      <c r="H100" s="640">
        <v>43</v>
      </c>
      <c r="I100" s="640">
        <v>5186</v>
      </c>
      <c r="J100" s="640">
        <v>0</v>
      </c>
      <c r="K100" s="638">
        <v>0</v>
      </c>
      <c r="L100" s="638">
        <v>0</v>
      </c>
      <c r="M100" s="638">
        <v>0</v>
      </c>
    </row>
    <row r="101" spans="1:13" ht="15.75">
      <c r="A101" s="1071"/>
      <c r="B101" s="1072"/>
      <c r="C101" s="638">
        <v>0</v>
      </c>
      <c r="D101" s="638">
        <v>0</v>
      </c>
      <c r="E101" s="638">
        <v>0</v>
      </c>
      <c r="F101" s="639"/>
      <c r="G101" s="640">
        <v>0</v>
      </c>
      <c r="H101" s="640">
        <v>79</v>
      </c>
      <c r="I101" s="640">
        <v>7459</v>
      </c>
      <c r="J101" s="640">
        <v>0</v>
      </c>
      <c r="K101" s="638">
        <v>0</v>
      </c>
      <c r="L101" s="638">
        <v>0</v>
      </c>
      <c r="M101" s="638">
        <v>0</v>
      </c>
    </row>
    <row r="102" spans="1:13" ht="15.75">
      <c r="A102" s="1071"/>
      <c r="B102" s="1072"/>
      <c r="C102" s="638">
        <v>0</v>
      </c>
      <c r="D102" s="638">
        <v>0</v>
      </c>
      <c r="E102" s="638">
        <v>0</v>
      </c>
      <c r="F102" s="639"/>
      <c r="G102" s="640">
        <v>0</v>
      </c>
      <c r="H102" s="640">
        <v>37</v>
      </c>
      <c r="I102" s="640">
        <v>5106</v>
      </c>
      <c r="J102" s="640">
        <v>0</v>
      </c>
      <c r="K102" s="638">
        <v>0</v>
      </c>
      <c r="L102" s="638">
        <v>0</v>
      </c>
      <c r="M102" s="638">
        <v>0</v>
      </c>
    </row>
    <row r="103" spans="1:13" ht="15.75">
      <c r="A103" s="1071"/>
      <c r="B103" s="1072"/>
      <c r="C103" s="638">
        <v>0</v>
      </c>
      <c r="D103" s="638">
        <v>0</v>
      </c>
      <c r="E103" s="638">
        <v>0</v>
      </c>
      <c r="F103" s="639">
        <v>0</v>
      </c>
      <c r="G103" s="640">
        <v>0</v>
      </c>
      <c r="H103" s="640">
        <v>0</v>
      </c>
      <c r="I103" s="640">
        <v>0</v>
      </c>
      <c r="J103" s="640">
        <v>0</v>
      </c>
      <c r="K103" s="638">
        <v>0</v>
      </c>
      <c r="L103" s="638">
        <v>0</v>
      </c>
      <c r="M103" s="638">
        <v>0</v>
      </c>
    </row>
    <row r="104" spans="1:13" ht="15.75">
      <c r="A104" s="1071"/>
      <c r="B104" s="1072"/>
      <c r="C104" s="638">
        <v>0</v>
      </c>
      <c r="D104" s="638">
        <v>0</v>
      </c>
      <c r="E104" s="638">
        <v>0</v>
      </c>
      <c r="F104" s="639">
        <v>0</v>
      </c>
      <c r="G104" s="640">
        <v>0</v>
      </c>
      <c r="H104" s="640">
        <v>0</v>
      </c>
      <c r="I104" s="640">
        <v>0</v>
      </c>
      <c r="J104" s="640">
        <v>0</v>
      </c>
      <c r="K104" s="638">
        <v>0</v>
      </c>
      <c r="L104" s="638">
        <v>0</v>
      </c>
      <c r="M104" s="638">
        <v>0</v>
      </c>
    </row>
    <row r="105" spans="1:13" ht="15.75">
      <c r="A105" s="641"/>
      <c r="B105" s="1072"/>
      <c r="C105" s="638">
        <v>0</v>
      </c>
      <c r="D105" s="638">
        <v>0</v>
      </c>
      <c r="E105" s="638">
        <v>0</v>
      </c>
      <c r="F105" s="639">
        <v>0</v>
      </c>
      <c r="G105" s="640">
        <v>0</v>
      </c>
      <c r="H105" s="640">
        <v>0</v>
      </c>
      <c r="I105" s="640">
        <v>0</v>
      </c>
      <c r="J105" s="640">
        <v>0</v>
      </c>
      <c r="K105" s="638">
        <v>0</v>
      </c>
      <c r="L105" s="638">
        <v>0</v>
      </c>
      <c r="M105" s="638">
        <v>0</v>
      </c>
    </row>
    <row r="106" spans="1:13" ht="15.75">
      <c r="A106" s="641"/>
      <c r="B106" s="598"/>
      <c r="C106" s="642"/>
      <c r="D106" s="643"/>
      <c r="E106" s="643"/>
      <c r="F106" s="653"/>
      <c r="G106" s="645">
        <f>SUM(G97:G105)</f>
        <v>1</v>
      </c>
      <c r="H106" s="645">
        <f t="shared" ref="H106:M106" si="10">SUM(H97:H105)</f>
        <v>159</v>
      </c>
      <c r="I106" s="645">
        <f t="shared" si="10"/>
        <v>17751</v>
      </c>
      <c r="J106" s="645">
        <f t="shared" si="10"/>
        <v>0</v>
      </c>
      <c r="K106" s="646">
        <f t="shared" si="10"/>
        <v>0</v>
      </c>
      <c r="L106" s="646">
        <f t="shared" si="10"/>
        <v>0</v>
      </c>
      <c r="M106" s="646">
        <f t="shared" si="10"/>
        <v>0</v>
      </c>
    </row>
    <row r="107" spans="1:13" ht="15.75">
      <c r="A107" s="641">
        <v>26</v>
      </c>
      <c r="B107" s="666" t="s">
        <v>979</v>
      </c>
      <c r="C107" s="642" t="s">
        <v>1083</v>
      </c>
      <c r="D107" s="643"/>
      <c r="E107" s="643"/>
      <c r="F107" s="644"/>
      <c r="G107" s="644"/>
      <c r="H107" s="644"/>
      <c r="I107" s="644"/>
      <c r="J107" s="644"/>
      <c r="K107" s="643"/>
      <c r="L107" s="643"/>
      <c r="M107" s="654"/>
    </row>
    <row r="108" spans="1:13" ht="15.75">
      <c r="A108" s="641">
        <v>27</v>
      </c>
      <c r="B108" s="666" t="s">
        <v>1139</v>
      </c>
      <c r="C108" s="638"/>
      <c r="D108" s="638"/>
      <c r="E108" s="638"/>
      <c r="F108" s="639" t="s">
        <v>1067</v>
      </c>
      <c r="G108" s="640">
        <v>1</v>
      </c>
      <c r="H108" s="640">
        <v>20</v>
      </c>
      <c r="I108" s="640">
        <v>2012</v>
      </c>
      <c r="J108" s="640">
        <v>0</v>
      </c>
      <c r="K108" s="638">
        <v>0</v>
      </c>
      <c r="L108" s="638">
        <v>0</v>
      </c>
      <c r="M108" s="638">
        <v>0</v>
      </c>
    </row>
    <row r="109" spans="1:13" ht="15.75">
      <c r="A109" s="641"/>
      <c r="B109" s="666"/>
      <c r="C109" s="638"/>
      <c r="D109" s="638"/>
      <c r="E109" s="638"/>
      <c r="F109" s="639"/>
      <c r="G109" s="648">
        <f>SUM(G108)</f>
        <v>1</v>
      </c>
      <c r="H109" s="648">
        <f t="shared" ref="H109:M109" si="11">SUM(H108)</f>
        <v>20</v>
      </c>
      <c r="I109" s="648">
        <f t="shared" si="11"/>
        <v>2012</v>
      </c>
      <c r="J109" s="648">
        <f t="shared" si="11"/>
        <v>0</v>
      </c>
      <c r="K109" s="649">
        <f t="shared" si="11"/>
        <v>0</v>
      </c>
      <c r="L109" s="649">
        <f t="shared" si="11"/>
        <v>0</v>
      </c>
      <c r="M109" s="649">
        <f t="shared" si="11"/>
        <v>0</v>
      </c>
    </row>
    <row r="110" spans="1:13" ht="15.75">
      <c r="A110" s="641">
        <v>28</v>
      </c>
      <c r="B110" s="666" t="s">
        <v>1140</v>
      </c>
      <c r="C110" s="638">
        <v>0</v>
      </c>
      <c r="D110" s="638">
        <v>0</v>
      </c>
      <c r="E110" s="638">
        <v>0</v>
      </c>
      <c r="F110" s="639">
        <v>0</v>
      </c>
      <c r="G110" s="640">
        <v>0</v>
      </c>
      <c r="H110" s="640">
        <v>0</v>
      </c>
      <c r="I110" s="640">
        <v>0</v>
      </c>
      <c r="J110" s="640">
        <v>0</v>
      </c>
      <c r="K110" s="638">
        <v>0</v>
      </c>
      <c r="L110" s="638">
        <v>0</v>
      </c>
      <c r="M110" s="638">
        <v>0</v>
      </c>
    </row>
    <row r="111" spans="1:13" ht="31.5">
      <c r="A111" s="1071">
        <v>29</v>
      </c>
      <c r="B111" s="1072" t="s">
        <v>1141</v>
      </c>
      <c r="C111" s="638"/>
      <c r="D111" s="638"/>
      <c r="E111" s="638"/>
      <c r="F111" s="639" t="s">
        <v>1142</v>
      </c>
      <c r="G111" s="640">
        <v>1</v>
      </c>
      <c r="H111" s="640">
        <v>10</v>
      </c>
      <c r="I111" s="640">
        <v>3006</v>
      </c>
      <c r="J111" s="640"/>
      <c r="K111" s="638"/>
      <c r="L111" s="638"/>
      <c r="M111" s="638"/>
    </row>
    <row r="112" spans="1:13" ht="31.5">
      <c r="A112" s="1071"/>
      <c r="B112" s="1072"/>
      <c r="C112" s="638"/>
      <c r="D112" s="638"/>
      <c r="E112" s="638"/>
      <c r="F112" s="639" t="s">
        <v>1143</v>
      </c>
      <c r="G112" s="640">
        <v>1</v>
      </c>
      <c r="H112" s="640">
        <v>7</v>
      </c>
      <c r="I112" s="640">
        <v>1849</v>
      </c>
      <c r="J112" s="640"/>
      <c r="K112" s="638"/>
      <c r="L112" s="638"/>
      <c r="M112" s="638"/>
    </row>
    <row r="113" spans="1:13" ht="31.5">
      <c r="A113" s="1071"/>
      <c r="B113" s="1072"/>
      <c r="C113" s="638"/>
      <c r="D113" s="638"/>
      <c r="E113" s="638"/>
      <c r="F113" s="639" t="s">
        <v>1144</v>
      </c>
      <c r="G113" s="640">
        <v>1</v>
      </c>
      <c r="H113" s="640">
        <v>1</v>
      </c>
      <c r="I113" s="640">
        <v>351</v>
      </c>
      <c r="J113" s="640"/>
      <c r="K113" s="638"/>
      <c r="L113" s="638"/>
      <c r="M113" s="638"/>
    </row>
    <row r="114" spans="1:13" ht="15.75">
      <c r="A114" s="1071"/>
      <c r="B114" s="1072"/>
      <c r="C114" s="638"/>
      <c r="D114" s="638"/>
      <c r="E114" s="638"/>
      <c r="F114" s="639"/>
      <c r="G114" s="648">
        <f>SUM(G111:G113)</f>
        <v>3</v>
      </c>
      <c r="H114" s="648">
        <f t="shared" ref="H114:M114" si="12">SUM(H111:H113)</f>
        <v>18</v>
      </c>
      <c r="I114" s="648">
        <f t="shared" si="12"/>
        <v>5206</v>
      </c>
      <c r="J114" s="648">
        <f t="shared" si="12"/>
        <v>0</v>
      </c>
      <c r="K114" s="649">
        <f t="shared" si="12"/>
        <v>0</v>
      </c>
      <c r="L114" s="649">
        <f t="shared" si="12"/>
        <v>0</v>
      </c>
      <c r="M114" s="649">
        <f t="shared" si="12"/>
        <v>0</v>
      </c>
    </row>
    <row r="115" spans="1:13" ht="15.75">
      <c r="A115" s="641">
        <v>30</v>
      </c>
      <c r="B115" s="666" t="s">
        <v>1145</v>
      </c>
      <c r="C115" s="638">
        <v>0</v>
      </c>
      <c r="D115" s="638">
        <v>0</v>
      </c>
      <c r="E115" s="638">
        <v>0</v>
      </c>
      <c r="F115" s="639">
        <v>0</v>
      </c>
      <c r="G115" s="640">
        <v>0</v>
      </c>
      <c r="H115" s="640">
        <v>0</v>
      </c>
      <c r="I115" s="640">
        <v>0</v>
      </c>
      <c r="J115" s="640">
        <v>0</v>
      </c>
      <c r="K115" s="638">
        <v>0</v>
      </c>
      <c r="L115" s="638">
        <v>0</v>
      </c>
      <c r="M115" s="638">
        <v>0</v>
      </c>
    </row>
    <row r="116" spans="1:13" ht="15.75">
      <c r="A116" s="641">
        <v>31</v>
      </c>
      <c r="B116" s="666" t="s">
        <v>1010</v>
      </c>
      <c r="C116" s="1058" t="s">
        <v>1083</v>
      </c>
      <c r="D116" s="1058"/>
      <c r="E116" s="1058"/>
      <c r="F116" s="1058"/>
      <c r="G116" s="1058"/>
      <c r="H116" s="1058"/>
      <c r="I116" s="1058"/>
      <c r="J116" s="1058"/>
      <c r="K116" s="1058"/>
      <c r="L116" s="1058"/>
      <c r="M116" s="1058"/>
    </row>
    <row r="117" spans="1:13" ht="31.5">
      <c r="A117" s="641">
        <v>32</v>
      </c>
      <c r="B117" s="666" t="s">
        <v>1012</v>
      </c>
      <c r="C117" s="1058" t="s">
        <v>1083</v>
      </c>
      <c r="D117" s="1058"/>
      <c r="E117" s="1058"/>
      <c r="F117" s="1058"/>
      <c r="G117" s="1058"/>
      <c r="H117" s="1058"/>
      <c r="I117" s="1058"/>
      <c r="J117" s="1058"/>
      <c r="K117" s="1058"/>
      <c r="L117" s="1058"/>
      <c r="M117" s="1058"/>
    </row>
    <row r="118" spans="1:13" ht="15.75">
      <c r="A118" s="641">
        <v>33</v>
      </c>
      <c r="B118" s="666" t="s">
        <v>975</v>
      </c>
      <c r="C118" s="1058" t="s">
        <v>1083</v>
      </c>
      <c r="D118" s="1058"/>
      <c r="E118" s="1058"/>
      <c r="F118" s="1058"/>
      <c r="G118" s="1058"/>
      <c r="H118" s="1058"/>
      <c r="I118" s="1058"/>
      <c r="J118" s="1058"/>
      <c r="K118" s="1058"/>
      <c r="L118" s="1058"/>
      <c r="M118" s="1058"/>
    </row>
    <row r="119" spans="1:13" ht="31.5">
      <c r="A119" s="1071">
        <v>34</v>
      </c>
      <c r="B119" s="1072" t="s">
        <v>1146</v>
      </c>
      <c r="C119" s="658"/>
      <c r="D119" s="658"/>
      <c r="E119" s="658"/>
      <c r="F119" s="639" t="s">
        <v>1147</v>
      </c>
      <c r="G119" s="640">
        <v>1</v>
      </c>
      <c r="H119" s="640">
        <v>5</v>
      </c>
      <c r="I119" s="640">
        <v>439</v>
      </c>
      <c r="J119" s="640"/>
      <c r="K119" s="658"/>
      <c r="L119" s="658"/>
      <c r="M119" s="658"/>
    </row>
    <row r="120" spans="1:13" ht="47.25">
      <c r="A120" s="1071"/>
      <c r="B120" s="1072"/>
      <c r="C120" s="658"/>
      <c r="D120" s="658"/>
      <c r="E120" s="658"/>
      <c r="F120" s="639" t="s">
        <v>1148</v>
      </c>
      <c r="G120" s="640">
        <v>1</v>
      </c>
      <c r="H120" s="640">
        <v>8</v>
      </c>
      <c r="I120" s="640">
        <v>1113</v>
      </c>
      <c r="J120" s="640"/>
      <c r="K120" s="658"/>
      <c r="L120" s="658"/>
      <c r="M120" s="658"/>
    </row>
    <row r="121" spans="1:13" ht="31.5">
      <c r="A121" s="1071"/>
      <c r="B121" s="1072"/>
      <c r="C121" s="658"/>
      <c r="D121" s="658"/>
      <c r="E121" s="658"/>
      <c r="F121" s="639" t="s">
        <v>1149</v>
      </c>
      <c r="G121" s="640">
        <v>1</v>
      </c>
      <c r="H121" s="640">
        <v>7</v>
      </c>
      <c r="I121" s="640">
        <v>1486</v>
      </c>
      <c r="J121" s="640"/>
      <c r="K121" s="658"/>
      <c r="L121" s="658"/>
      <c r="M121" s="658"/>
    </row>
    <row r="122" spans="1:13" ht="31.5">
      <c r="A122" s="1071"/>
      <c r="B122" s="1072"/>
      <c r="C122" s="658"/>
      <c r="D122" s="658"/>
      <c r="E122" s="658"/>
      <c r="F122" s="639" t="s">
        <v>1150</v>
      </c>
      <c r="G122" s="640">
        <v>1</v>
      </c>
      <c r="H122" s="640">
        <v>3</v>
      </c>
      <c r="I122" s="640">
        <v>686</v>
      </c>
      <c r="J122" s="640"/>
      <c r="K122" s="658"/>
      <c r="L122" s="658"/>
      <c r="M122" s="658"/>
    </row>
    <row r="123" spans="1:13" ht="31.5">
      <c r="A123" s="1071"/>
      <c r="B123" s="1072"/>
      <c r="C123" s="658"/>
      <c r="D123" s="658"/>
      <c r="E123" s="658"/>
      <c r="F123" s="639" t="s">
        <v>1151</v>
      </c>
      <c r="G123" s="640">
        <v>1</v>
      </c>
      <c r="H123" s="640">
        <v>1</v>
      </c>
      <c r="I123" s="640">
        <v>260</v>
      </c>
      <c r="J123" s="640"/>
      <c r="K123" s="658"/>
      <c r="L123" s="658"/>
      <c r="M123" s="658"/>
    </row>
    <row r="124" spans="1:13" ht="31.5">
      <c r="A124" s="1071"/>
      <c r="B124" s="1072"/>
      <c r="C124" s="658"/>
      <c r="D124" s="658"/>
      <c r="E124" s="658"/>
      <c r="F124" s="639" t="s">
        <v>1152</v>
      </c>
      <c r="G124" s="640">
        <v>1</v>
      </c>
      <c r="H124" s="640">
        <v>5</v>
      </c>
      <c r="I124" s="640">
        <v>1386</v>
      </c>
      <c r="J124" s="640"/>
      <c r="K124" s="658"/>
      <c r="L124" s="658"/>
      <c r="M124" s="658"/>
    </row>
    <row r="125" spans="1:13" ht="31.5">
      <c r="A125" s="1071"/>
      <c r="B125" s="1072"/>
      <c r="C125" s="658"/>
      <c r="D125" s="658"/>
      <c r="E125" s="658"/>
      <c r="F125" s="639" t="s">
        <v>1153</v>
      </c>
      <c r="G125" s="640">
        <v>1</v>
      </c>
      <c r="H125" s="640">
        <v>3</v>
      </c>
      <c r="I125" s="640">
        <v>321</v>
      </c>
      <c r="J125" s="640"/>
      <c r="K125" s="658"/>
      <c r="L125" s="658"/>
      <c r="M125" s="658"/>
    </row>
    <row r="126" spans="1:13" ht="31.5">
      <c r="A126" s="1071"/>
      <c r="B126" s="1072"/>
      <c r="C126" s="658"/>
      <c r="D126" s="658"/>
      <c r="E126" s="658"/>
      <c r="F126" s="639" t="s">
        <v>1154</v>
      </c>
      <c r="G126" s="640">
        <v>1</v>
      </c>
      <c r="H126" s="640">
        <v>3</v>
      </c>
      <c r="I126" s="640">
        <v>386</v>
      </c>
      <c r="J126" s="640"/>
      <c r="K126" s="658"/>
      <c r="L126" s="658"/>
      <c r="M126" s="658"/>
    </row>
    <row r="127" spans="1:13" ht="31.5">
      <c r="A127" s="1071"/>
      <c r="B127" s="1072"/>
      <c r="C127" s="658"/>
      <c r="D127" s="658"/>
      <c r="E127" s="658"/>
      <c r="F127" s="639" t="s">
        <v>1155</v>
      </c>
      <c r="G127" s="640">
        <v>1</v>
      </c>
      <c r="H127" s="640">
        <v>1</v>
      </c>
      <c r="I127" s="640">
        <v>222</v>
      </c>
      <c r="J127" s="640"/>
      <c r="K127" s="658"/>
      <c r="L127" s="658"/>
      <c r="M127" s="658"/>
    </row>
    <row r="128" spans="1:13" ht="31.5">
      <c r="A128" s="1071"/>
      <c r="B128" s="1072"/>
      <c r="C128" s="658"/>
      <c r="D128" s="658"/>
      <c r="E128" s="658"/>
      <c r="F128" s="639" t="s">
        <v>1156</v>
      </c>
      <c r="G128" s="640">
        <v>1</v>
      </c>
      <c r="H128" s="640">
        <v>3</v>
      </c>
      <c r="I128" s="640">
        <v>435</v>
      </c>
      <c r="J128" s="640"/>
      <c r="K128" s="658"/>
      <c r="L128" s="658"/>
      <c r="M128" s="658"/>
    </row>
    <row r="129" spans="1:13" ht="31.5">
      <c r="A129" s="1071"/>
      <c r="B129" s="1072"/>
      <c r="C129" s="658"/>
      <c r="D129" s="658"/>
      <c r="E129" s="658"/>
      <c r="F129" s="639" t="s">
        <v>1157</v>
      </c>
      <c r="G129" s="640">
        <v>1</v>
      </c>
      <c r="H129" s="640">
        <v>2</v>
      </c>
      <c r="I129" s="640">
        <v>77</v>
      </c>
      <c r="J129" s="640"/>
      <c r="K129" s="658"/>
      <c r="L129" s="658"/>
      <c r="M129" s="658"/>
    </row>
    <row r="130" spans="1:13" ht="31.5">
      <c r="A130" s="1071"/>
      <c r="B130" s="1072"/>
      <c r="C130" s="658"/>
      <c r="D130" s="658"/>
      <c r="E130" s="658"/>
      <c r="F130" s="639" t="s">
        <v>1158</v>
      </c>
      <c r="G130" s="640">
        <v>1</v>
      </c>
      <c r="H130" s="640">
        <v>10</v>
      </c>
      <c r="I130" s="640">
        <v>4014</v>
      </c>
      <c r="J130" s="640"/>
      <c r="K130" s="658"/>
      <c r="L130" s="658"/>
      <c r="M130" s="658"/>
    </row>
    <row r="131" spans="1:13" ht="31.5">
      <c r="A131" s="1071"/>
      <c r="B131" s="1072"/>
      <c r="C131" s="638"/>
      <c r="D131" s="638"/>
      <c r="E131" s="638"/>
      <c r="F131" s="639" t="s">
        <v>1159</v>
      </c>
      <c r="G131" s="640">
        <v>1</v>
      </c>
      <c r="H131" s="640">
        <v>3</v>
      </c>
      <c r="I131" s="640">
        <v>792</v>
      </c>
      <c r="J131" s="640"/>
      <c r="K131" s="638"/>
      <c r="L131" s="638"/>
      <c r="M131" s="638"/>
    </row>
    <row r="132" spans="1:13" ht="15.75">
      <c r="A132" s="640"/>
      <c r="B132" s="598"/>
      <c r="C132" s="638"/>
      <c r="D132" s="638"/>
      <c r="E132" s="638"/>
      <c r="F132" s="639"/>
      <c r="G132" s="648">
        <f>SUM(G119:G131)</f>
        <v>13</v>
      </c>
      <c r="H132" s="648">
        <f t="shared" ref="H132:M132" si="13">SUM(H119:H131)</f>
        <v>54</v>
      </c>
      <c r="I132" s="648">
        <f t="shared" si="13"/>
        <v>11617</v>
      </c>
      <c r="J132" s="648">
        <f t="shared" si="13"/>
        <v>0</v>
      </c>
      <c r="K132" s="649">
        <f t="shared" si="13"/>
        <v>0</v>
      </c>
      <c r="L132" s="649">
        <f t="shared" si="13"/>
        <v>0</v>
      </c>
      <c r="M132" s="649">
        <f t="shared" si="13"/>
        <v>0</v>
      </c>
    </row>
    <row r="133" spans="1:13" ht="15.75">
      <c r="A133" s="659" t="s">
        <v>17</v>
      </c>
      <c r="B133" s="670"/>
      <c r="C133" s="648">
        <f>C61+C26</f>
        <v>50</v>
      </c>
      <c r="D133" s="648">
        <f>D61+D26</f>
        <v>141</v>
      </c>
      <c r="E133" s="648">
        <f>E61+E26</f>
        <v>15851</v>
      </c>
      <c r="F133" s="639"/>
      <c r="G133" s="648">
        <f t="shared" ref="G133:M133" si="14">G132+G114+G109+G106+G91+G78+G68+G64+G61+G55+G52+G49+G42+G28+G26+G17</f>
        <v>69</v>
      </c>
      <c r="H133" s="648">
        <f t="shared" si="14"/>
        <v>5366</v>
      </c>
      <c r="I133" s="648">
        <f t="shared" si="14"/>
        <v>813944</v>
      </c>
      <c r="J133" s="648">
        <f t="shared" si="14"/>
        <v>0</v>
      </c>
      <c r="K133" s="648">
        <f t="shared" si="14"/>
        <v>2</v>
      </c>
      <c r="L133" s="648">
        <f t="shared" si="14"/>
        <v>72</v>
      </c>
      <c r="M133" s="648">
        <f t="shared" si="14"/>
        <v>12237</v>
      </c>
    </row>
    <row r="138" spans="1:13" ht="15">
      <c r="A138" s="660"/>
      <c r="B138" s="661"/>
      <c r="C138" s="660"/>
      <c r="D138" s="660"/>
      <c r="E138" s="660"/>
      <c r="F138" s="661"/>
      <c r="G138" s="660"/>
      <c r="K138" s="660"/>
      <c r="L138" s="660"/>
      <c r="M138" s="660"/>
    </row>
    <row r="139" spans="1:13" ht="15.75">
      <c r="A139" s="847" t="s">
        <v>906</v>
      </c>
      <c r="B139" s="847"/>
      <c r="C139" s="847"/>
      <c r="D139" s="660"/>
      <c r="E139" s="660"/>
      <c r="F139" s="660"/>
      <c r="G139" s="660"/>
      <c r="H139" s="86"/>
      <c r="I139" s="86"/>
      <c r="J139" s="86"/>
      <c r="K139" s="662"/>
      <c r="L139" s="663" t="s">
        <v>12</v>
      </c>
      <c r="M139" s="662"/>
    </row>
    <row r="140" spans="1:13" ht="15.75">
      <c r="A140" s="1067" t="s">
        <v>907</v>
      </c>
      <c r="B140" s="1067"/>
      <c r="C140" s="1067"/>
      <c r="D140" s="660"/>
      <c r="E140" s="660"/>
      <c r="F140" s="660"/>
      <c r="G140" s="660"/>
      <c r="H140" s="86"/>
      <c r="I140" s="86"/>
      <c r="J140" s="86"/>
      <c r="K140" s="1068" t="s">
        <v>13</v>
      </c>
      <c r="L140" s="1068"/>
      <c r="M140" s="1068"/>
    </row>
    <row r="141" spans="1:13" ht="15.75">
      <c r="A141" s="1067" t="s">
        <v>908</v>
      </c>
      <c r="B141" s="1067"/>
      <c r="C141" s="1067"/>
      <c r="D141" s="660"/>
      <c r="E141" s="660"/>
      <c r="F141" s="660"/>
      <c r="G141" s="660"/>
      <c r="H141" s="86"/>
      <c r="I141" s="86"/>
      <c r="J141" s="86"/>
      <c r="K141" s="1068" t="s">
        <v>87</v>
      </c>
      <c r="L141" s="1068"/>
      <c r="M141" s="1068"/>
    </row>
    <row r="142" spans="1:13" ht="15.75">
      <c r="A142" s="98" t="s">
        <v>984</v>
      </c>
      <c r="B142" s="661"/>
      <c r="C142" s="660"/>
      <c r="D142" s="660"/>
      <c r="E142" s="660"/>
      <c r="F142" s="660"/>
      <c r="G142" s="660"/>
      <c r="H142" s="86"/>
      <c r="I142" s="86"/>
      <c r="J142" s="86"/>
      <c r="K142" s="662"/>
      <c r="L142" s="636" t="s">
        <v>84</v>
      </c>
      <c r="M142" s="662"/>
    </row>
    <row r="143" spans="1:13" ht="15">
      <c r="A143" s="662"/>
      <c r="B143" s="671"/>
      <c r="C143" s="662"/>
      <c r="D143" s="662"/>
      <c r="E143" s="662"/>
      <c r="F143" s="662"/>
      <c r="G143" s="662"/>
      <c r="H143" s="662"/>
      <c r="I143" s="662"/>
      <c r="J143" s="662"/>
    </row>
  </sheetData>
  <mergeCells count="44">
    <mergeCell ref="F9:I9"/>
    <mergeCell ref="J9:M9"/>
    <mergeCell ref="N51:P51"/>
    <mergeCell ref="C9:E9"/>
    <mergeCell ref="C50:M50"/>
    <mergeCell ref="L1:M1"/>
    <mergeCell ref="A2:M2"/>
    <mergeCell ref="A3:M3"/>
    <mergeCell ref="A5:M5"/>
    <mergeCell ref="A7:B7"/>
    <mergeCell ref="A43:A47"/>
    <mergeCell ref="B43:B48"/>
    <mergeCell ref="A9:A10"/>
    <mergeCell ref="A57:A60"/>
    <mergeCell ref="B57:B60"/>
    <mergeCell ref="A12:A16"/>
    <mergeCell ref="B12:B16"/>
    <mergeCell ref="A18:A25"/>
    <mergeCell ref="B18:B25"/>
    <mergeCell ref="A29:A41"/>
    <mergeCell ref="B29:B41"/>
    <mergeCell ref="B9:B10"/>
    <mergeCell ref="A141:C141"/>
    <mergeCell ref="K141:M141"/>
    <mergeCell ref="A66:A67"/>
    <mergeCell ref="B66:B67"/>
    <mergeCell ref="A119:A131"/>
    <mergeCell ref="B119:B131"/>
    <mergeCell ref="A139:C139"/>
    <mergeCell ref="A140:C140"/>
    <mergeCell ref="K140:M140"/>
    <mergeCell ref="A79:A90"/>
    <mergeCell ref="B79:B90"/>
    <mergeCell ref="A97:A104"/>
    <mergeCell ref="B97:B105"/>
    <mergeCell ref="G71:G77"/>
    <mergeCell ref="A111:A114"/>
    <mergeCell ref="B111:B114"/>
    <mergeCell ref="C116:M116"/>
    <mergeCell ref="C117:M117"/>
    <mergeCell ref="C118:M118"/>
    <mergeCell ref="H66:H67"/>
    <mergeCell ref="B71:B77"/>
    <mergeCell ref="F71:F77"/>
  </mergeCells>
  <printOptions horizontalCentered="1"/>
  <pageMargins left="0.70866141732283505" right="0.70866141732283505" top="0.23622047244094499" bottom="0" header="0.31496062992126" footer="0.31496062992126"/>
  <pageSetup paperSize="9" scale="56" orientation="landscape" r:id="rId1"/>
</worksheet>
</file>

<file path=xl/worksheets/sheet49.xml><?xml version="1.0" encoding="utf-8"?>
<worksheet xmlns="http://schemas.openxmlformats.org/spreadsheetml/2006/main" xmlns:r="http://schemas.openxmlformats.org/officeDocument/2006/relationships">
  <sheetPr codeName="Sheet49">
    <pageSetUpPr fitToPage="1"/>
  </sheetPr>
  <dimension ref="A1:L50"/>
  <sheetViews>
    <sheetView topLeftCell="A34" zoomScaleSheetLayoutView="84" workbookViewId="0">
      <selection activeCell="C42" sqref="C42:K42"/>
    </sheetView>
  </sheetViews>
  <sheetFormatPr defaultRowHeight="12.75"/>
  <cols>
    <col min="1" max="1" width="5.85546875" customWidth="1"/>
    <col min="2" max="2" width="18.42578125" bestFit="1" customWidth="1"/>
    <col min="6" max="6" width="13.42578125" customWidth="1"/>
    <col min="7" max="7" width="14.85546875" customWidth="1"/>
    <col min="8" max="8" width="12.42578125" customWidth="1"/>
    <col min="9" max="9" width="15.28515625" customWidth="1"/>
    <col min="10" max="10" width="14.28515625" customWidth="1"/>
    <col min="11" max="11" width="15.7109375" customWidth="1"/>
    <col min="12" max="12" width="9.140625" hidden="1" customWidth="1"/>
  </cols>
  <sheetData>
    <row r="1" spans="1:12" ht="18">
      <c r="A1" s="911" t="s">
        <v>0</v>
      </c>
      <c r="B1" s="911"/>
      <c r="C1" s="911"/>
      <c r="D1" s="911"/>
      <c r="E1" s="911"/>
      <c r="F1" s="911"/>
      <c r="G1" s="911"/>
      <c r="H1" s="911"/>
      <c r="I1" s="911"/>
      <c r="J1" s="1080" t="s">
        <v>526</v>
      </c>
      <c r="K1" s="1080"/>
    </row>
    <row r="2" spans="1:12" ht="21">
      <c r="A2" s="912" t="s">
        <v>745</v>
      </c>
      <c r="B2" s="912"/>
      <c r="C2" s="912"/>
      <c r="D2" s="912"/>
      <c r="E2" s="912"/>
      <c r="F2" s="912"/>
      <c r="G2" s="912"/>
      <c r="H2" s="912"/>
      <c r="I2" s="912"/>
      <c r="J2" s="912"/>
      <c r="K2" s="912"/>
    </row>
    <row r="3" spans="1:12" ht="15">
      <c r="A3" s="197"/>
      <c r="B3" s="197"/>
      <c r="C3" s="197"/>
      <c r="D3" s="197"/>
      <c r="E3" s="197"/>
      <c r="F3" s="197"/>
      <c r="G3" s="197"/>
      <c r="H3" s="197"/>
      <c r="I3" s="197"/>
      <c r="J3" s="197"/>
      <c r="K3" s="197"/>
    </row>
    <row r="4" spans="1:12" ht="27" customHeight="1">
      <c r="A4" s="1081" t="s">
        <v>702</v>
      </c>
      <c r="B4" s="1081"/>
      <c r="C4" s="1081"/>
      <c r="D4" s="1081"/>
      <c r="E4" s="1081"/>
      <c r="F4" s="1081"/>
      <c r="G4" s="1081"/>
      <c r="H4" s="1081"/>
      <c r="I4" s="1081"/>
      <c r="J4" s="1081"/>
      <c r="K4" s="1081"/>
    </row>
    <row r="5" spans="1:12" ht="15">
      <c r="A5" s="198" t="s">
        <v>253</v>
      </c>
      <c r="B5" s="198"/>
      <c r="C5" s="198"/>
      <c r="D5" s="198"/>
      <c r="E5" s="198"/>
      <c r="F5" s="198"/>
      <c r="G5" s="198"/>
      <c r="H5" s="198"/>
      <c r="I5" s="197"/>
      <c r="J5" s="1082" t="s">
        <v>831</v>
      </c>
      <c r="K5" s="1082"/>
      <c r="L5" s="1082"/>
    </row>
    <row r="6" spans="1:12" ht="27.75" customHeight="1">
      <c r="A6" s="988" t="s">
        <v>2</v>
      </c>
      <c r="B6" s="988" t="s">
        <v>3</v>
      </c>
      <c r="C6" s="988" t="s">
        <v>297</v>
      </c>
      <c r="D6" s="988" t="s">
        <v>298</v>
      </c>
      <c r="E6" s="988"/>
      <c r="F6" s="988"/>
      <c r="G6" s="988"/>
      <c r="H6" s="988"/>
      <c r="I6" s="989" t="s">
        <v>299</v>
      </c>
      <c r="J6" s="990"/>
      <c r="K6" s="991"/>
    </row>
    <row r="7" spans="1:12" ht="90" customHeight="1">
      <c r="A7" s="988"/>
      <c r="B7" s="988"/>
      <c r="C7" s="988"/>
      <c r="D7" s="230" t="s">
        <v>300</v>
      </c>
      <c r="E7" s="230" t="s">
        <v>198</v>
      </c>
      <c r="F7" s="230" t="s">
        <v>449</v>
      </c>
      <c r="G7" s="230" t="s">
        <v>301</v>
      </c>
      <c r="H7" s="230" t="s">
        <v>423</v>
      </c>
      <c r="I7" s="230" t="s">
        <v>302</v>
      </c>
      <c r="J7" s="230" t="s">
        <v>303</v>
      </c>
      <c r="K7" s="230" t="s">
        <v>304</v>
      </c>
    </row>
    <row r="8" spans="1:12" ht="15">
      <c r="A8" s="201" t="s">
        <v>260</v>
      </c>
      <c r="B8" s="201" t="s">
        <v>261</v>
      </c>
      <c r="C8" s="201" t="s">
        <v>262</v>
      </c>
      <c r="D8" s="201" t="s">
        <v>263</v>
      </c>
      <c r="E8" s="201" t="s">
        <v>264</v>
      </c>
      <c r="F8" s="201" t="s">
        <v>265</v>
      </c>
      <c r="G8" s="201" t="s">
        <v>266</v>
      </c>
      <c r="H8" s="201" t="s">
        <v>267</v>
      </c>
      <c r="I8" s="201" t="s">
        <v>286</v>
      </c>
      <c r="J8" s="201" t="s">
        <v>287</v>
      </c>
      <c r="K8" s="201" t="s">
        <v>288</v>
      </c>
    </row>
    <row r="9" spans="1:12">
      <c r="A9" s="93">
        <v>1</v>
      </c>
      <c r="B9" s="94" t="s">
        <v>912</v>
      </c>
      <c r="C9" s="702">
        <v>13</v>
      </c>
      <c r="D9" s="702">
        <v>830</v>
      </c>
      <c r="E9" s="702">
        <v>126465</v>
      </c>
      <c r="F9" s="702">
        <v>0</v>
      </c>
      <c r="G9" s="702">
        <v>1367</v>
      </c>
      <c r="H9" s="702">
        <f>G9</f>
        <v>1367</v>
      </c>
      <c r="I9" s="702">
        <v>0</v>
      </c>
      <c r="J9" s="702">
        <f>H9*2600*10/100000</f>
        <v>355.42</v>
      </c>
      <c r="K9" s="702">
        <f>J9</f>
        <v>355.42</v>
      </c>
    </row>
    <row r="10" spans="1:12">
      <c r="A10" s="93">
        <v>2</v>
      </c>
      <c r="B10" s="94" t="s">
        <v>913</v>
      </c>
      <c r="C10" s="702">
        <v>6</v>
      </c>
      <c r="D10" s="702">
        <v>1171</v>
      </c>
      <c r="E10" s="702">
        <v>182651</v>
      </c>
      <c r="F10" s="702">
        <v>0</v>
      </c>
      <c r="G10" s="702">
        <v>1948</v>
      </c>
      <c r="H10" s="702">
        <v>1948</v>
      </c>
      <c r="I10" s="702">
        <v>0</v>
      </c>
      <c r="J10" s="702">
        <f t="shared" ref="J10:J42" si="0">H10*2600*10/100000</f>
        <v>506.48</v>
      </c>
      <c r="K10" s="702">
        <f t="shared" ref="K10:K42" si="1">J10</f>
        <v>506.48</v>
      </c>
    </row>
    <row r="11" spans="1:12">
      <c r="A11" s="93">
        <v>3</v>
      </c>
      <c r="B11" s="94" t="s">
        <v>914</v>
      </c>
      <c r="C11" s="702">
        <v>0</v>
      </c>
      <c r="D11" s="702">
        <v>0</v>
      </c>
      <c r="E11" s="702">
        <v>0</v>
      </c>
      <c r="F11" s="702">
        <v>0</v>
      </c>
      <c r="G11" s="702">
        <v>0</v>
      </c>
      <c r="H11" s="702">
        <v>0</v>
      </c>
      <c r="I11" s="702">
        <v>0</v>
      </c>
      <c r="J11" s="702">
        <f t="shared" si="0"/>
        <v>0</v>
      </c>
      <c r="K11" s="702">
        <f t="shared" si="1"/>
        <v>0</v>
      </c>
    </row>
    <row r="12" spans="1:12">
      <c r="A12" s="93">
        <v>4</v>
      </c>
      <c r="B12" s="94" t="s">
        <v>915</v>
      </c>
      <c r="C12" s="702">
        <v>0</v>
      </c>
      <c r="D12" s="702">
        <v>0</v>
      </c>
      <c r="E12" s="702">
        <v>0</v>
      </c>
      <c r="F12" s="702">
        <v>0</v>
      </c>
      <c r="G12" s="702">
        <v>0</v>
      </c>
      <c r="H12" s="702">
        <v>0</v>
      </c>
      <c r="I12" s="702">
        <v>0</v>
      </c>
      <c r="J12" s="702">
        <f t="shared" si="0"/>
        <v>0</v>
      </c>
      <c r="K12" s="702">
        <f t="shared" si="1"/>
        <v>0</v>
      </c>
    </row>
    <row r="13" spans="1:12">
      <c r="A13" s="93">
        <v>5</v>
      </c>
      <c r="B13" s="94" t="s">
        <v>916</v>
      </c>
      <c r="C13" s="702">
        <v>0</v>
      </c>
      <c r="D13" s="702">
        <v>0</v>
      </c>
      <c r="E13" s="702">
        <v>0</v>
      </c>
      <c r="F13" s="702">
        <v>0</v>
      </c>
      <c r="G13" s="702">
        <v>0</v>
      </c>
      <c r="H13" s="702">
        <v>0</v>
      </c>
      <c r="I13" s="702">
        <v>0</v>
      </c>
      <c r="J13" s="702">
        <f t="shared" si="0"/>
        <v>0</v>
      </c>
      <c r="K13" s="702">
        <f t="shared" si="1"/>
        <v>0</v>
      </c>
    </row>
    <row r="14" spans="1:12">
      <c r="A14" s="93">
        <v>6</v>
      </c>
      <c r="B14" s="94" t="s">
        <v>917</v>
      </c>
      <c r="C14" s="702">
        <v>0</v>
      </c>
      <c r="D14" s="702">
        <v>0</v>
      </c>
      <c r="E14" s="702">
        <v>0</v>
      </c>
      <c r="F14" s="702">
        <v>0</v>
      </c>
      <c r="G14" s="702">
        <v>0</v>
      </c>
      <c r="H14" s="702">
        <v>0</v>
      </c>
      <c r="I14" s="702">
        <v>0</v>
      </c>
      <c r="J14" s="702">
        <f t="shared" si="0"/>
        <v>0</v>
      </c>
      <c r="K14" s="702">
        <f t="shared" si="1"/>
        <v>0</v>
      </c>
    </row>
    <row r="15" spans="1:12">
      <c r="A15" s="93">
        <v>7</v>
      </c>
      <c r="B15" s="94" t="s">
        <v>918</v>
      </c>
      <c r="C15" s="703">
        <v>1</v>
      </c>
      <c r="D15" s="703">
        <v>20</v>
      </c>
      <c r="E15" s="703">
        <v>2012</v>
      </c>
      <c r="F15" s="703">
        <v>0</v>
      </c>
      <c r="G15" s="703">
        <v>37</v>
      </c>
      <c r="H15" s="703">
        <v>37</v>
      </c>
      <c r="I15" s="703">
        <v>0</v>
      </c>
      <c r="J15" s="702">
        <f t="shared" si="0"/>
        <v>9.6199999999999992</v>
      </c>
      <c r="K15" s="702">
        <f t="shared" si="1"/>
        <v>9.6199999999999992</v>
      </c>
    </row>
    <row r="16" spans="1:12">
      <c r="A16" s="93">
        <v>8</v>
      </c>
      <c r="B16" s="94" t="s">
        <v>919</v>
      </c>
      <c r="C16" s="702">
        <v>0</v>
      </c>
      <c r="D16" s="702">
        <v>0</v>
      </c>
      <c r="E16" s="702">
        <v>0</v>
      </c>
      <c r="F16" s="702">
        <v>0</v>
      </c>
      <c r="G16" s="702">
        <v>0</v>
      </c>
      <c r="H16" s="702">
        <v>0</v>
      </c>
      <c r="I16" s="702">
        <v>0</v>
      </c>
      <c r="J16" s="702">
        <f t="shared" si="0"/>
        <v>0</v>
      </c>
      <c r="K16" s="702">
        <f t="shared" si="1"/>
        <v>0</v>
      </c>
    </row>
    <row r="17" spans="1:11">
      <c r="A17" s="93">
        <v>9</v>
      </c>
      <c r="B17" s="94" t="s">
        <v>920</v>
      </c>
      <c r="C17" s="702">
        <v>0</v>
      </c>
      <c r="D17" s="702">
        <v>0</v>
      </c>
      <c r="E17" s="702">
        <v>0</v>
      </c>
      <c r="F17" s="702">
        <v>0</v>
      </c>
      <c r="G17" s="702">
        <v>0</v>
      </c>
      <c r="H17" s="702">
        <v>0</v>
      </c>
      <c r="I17" s="702">
        <v>0</v>
      </c>
      <c r="J17" s="702">
        <v>0</v>
      </c>
      <c r="K17" s="702">
        <f t="shared" si="1"/>
        <v>0</v>
      </c>
    </row>
    <row r="18" spans="1:11">
      <c r="A18" s="93">
        <v>10</v>
      </c>
      <c r="B18" s="94" t="s">
        <v>921</v>
      </c>
      <c r="C18" s="702">
        <v>0</v>
      </c>
      <c r="D18" s="702">
        <v>0</v>
      </c>
      <c r="E18" s="702">
        <v>0</v>
      </c>
      <c r="F18" s="702">
        <v>0</v>
      </c>
      <c r="G18" s="702">
        <v>0</v>
      </c>
      <c r="H18" s="702">
        <v>0</v>
      </c>
      <c r="I18" s="702">
        <v>0</v>
      </c>
      <c r="J18" s="702">
        <f t="shared" si="0"/>
        <v>0</v>
      </c>
      <c r="K18" s="702">
        <f t="shared" si="1"/>
        <v>0</v>
      </c>
    </row>
    <row r="19" spans="1:11">
      <c r="A19" s="93">
        <v>11</v>
      </c>
      <c r="B19" s="94" t="s">
        <v>922</v>
      </c>
      <c r="C19" s="702">
        <v>0</v>
      </c>
      <c r="D19" s="702">
        <v>0</v>
      </c>
      <c r="E19" s="702">
        <v>0</v>
      </c>
      <c r="F19" s="702">
        <v>0</v>
      </c>
      <c r="G19" s="702">
        <v>0</v>
      </c>
      <c r="H19" s="702">
        <v>0</v>
      </c>
      <c r="I19" s="702">
        <v>0</v>
      </c>
      <c r="J19" s="702">
        <f t="shared" si="0"/>
        <v>0</v>
      </c>
      <c r="K19" s="702">
        <f t="shared" si="1"/>
        <v>0</v>
      </c>
    </row>
    <row r="20" spans="1:11">
      <c r="A20" s="93">
        <v>12</v>
      </c>
      <c r="B20" s="94" t="s">
        <v>923</v>
      </c>
      <c r="C20" s="703">
        <v>1</v>
      </c>
      <c r="D20" s="703">
        <v>159</v>
      </c>
      <c r="E20" s="703">
        <v>17751</v>
      </c>
      <c r="F20" s="703">
        <v>0</v>
      </c>
      <c r="G20" s="703">
        <v>300</v>
      </c>
      <c r="H20" s="703">
        <v>300</v>
      </c>
      <c r="I20" s="703">
        <v>0</v>
      </c>
      <c r="J20" s="702">
        <f t="shared" si="0"/>
        <v>78</v>
      </c>
      <c r="K20" s="702">
        <f t="shared" si="1"/>
        <v>78</v>
      </c>
    </row>
    <row r="21" spans="1:11">
      <c r="A21" s="93">
        <v>13</v>
      </c>
      <c r="B21" s="94" t="s">
        <v>924</v>
      </c>
      <c r="C21" s="702">
        <v>0</v>
      </c>
      <c r="D21" s="702">
        <v>0</v>
      </c>
      <c r="E21" s="702">
        <v>0</v>
      </c>
      <c r="F21" s="702">
        <v>0</v>
      </c>
      <c r="G21" s="702">
        <v>0</v>
      </c>
      <c r="H21" s="702">
        <v>0</v>
      </c>
      <c r="I21" s="702">
        <v>0</v>
      </c>
      <c r="J21" s="702">
        <f t="shared" si="0"/>
        <v>0</v>
      </c>
      <c r="K21" s="702">
        <f t="shared" si="1"/>
        <v>0</v>
      </c>
    </row>
    <row r="22" spans="1:11">
      <c r="A22" s="93">
        <v>14</v>
      </c>
      <c r="B22" s="94" t="s">
        <v>925</v>
      </c>
      <c r="C22" s="600">
        <v>1</v>
      </c>
      <c r="D22" s="600">
        <v>72</v>
      </c>
      <c r="E22" s="600">
        <v>6124</v>
      </c>
      <c r="F22" s="600">
        <v>8</v>
      </c>
      <c r="G22" s="600">
        <v>134</v>
      </c>
      <c r="H22" s="600">
        <v>142</v>
      </c>
      <c r="I22" s="600">
        <v>1.84</v>
      </c>
      <c r="J22" s="702">
        <f t="shared" si="0"/>
        <v>36.92</v>
      </c>
      <c r="K22" s="702">
        <f t="shared" si="1"/>
        <v>36.92</v>
      </c>
    </row>
    <row r="23" spans="1:11">
      <c r="A23" s="93">
        <v>15</v>
      </c>
      <c r="B23" s="94" t="s">
        <v>926</v>
      </c>
      <c r="C23" s="702">
        <v>0</v>
      </c>
      <c r="D23" s="702">
        <v>0</v>
      </c>
      <c r="E23" s="702">
        <v>0</v>
      </c>
      <c r="F23" s="702">
        <v>0</v>
      </c>
      <c r="G23" s="702">
        <v>0</v>
      </c>
      <c r="H23" s="702">
        <v>0</v>
      </c>
      <c r="I23" s="702">
        <v>0</v>
      </c>
      <c r="J23" s="702">
        <f t="shared" si="0"/>
        <v>0</v>
      </c>
      <c r="K23" s="702">
        <f t="shared" si="1"/>
        <v>0</v>
      </c>
    </row>
    <row r="24" spans="1:11">
      <c r="A24" s="93">
        <v>16</v>
      </c>
      <c r="B24" s="94" t="s">
        <v>927</v>
      </c>
      <c r="C24" s="702">
        <v>0</v>
      </c>
      <c r="D24" s="702">
        <v>0</v>
      </c>
      <c r="E24" s="702">
        <v>0</v>
      </c>
      <c r="F24" s="702">
        <v>0</v>
      </c>
      <c r="G24" s="702">
        <v>0</v>
      </c>
      <c r="H24" s="702">
        <v>0</v>
      </c>
      <c r="I24" s="702">
        <v>0</v>
      </c>
      <c r="J24" s="702">
        <f t="shared" si="0"/>
        <v>0</v>
      </c>
      <c r="K24" s="702">
        <f t="shared" si="1"/>
        <v>0</v>
      </c>
    </row>
    <row r="25" spans="1:11">
      <c r="A25" s="93">
        <v>17</v>
      </c>
      <c r="B25" s="94" t="s">
        <v>928</v>
      </c>
      <c r="C25" s="702">
        <v>0</v>
      </c>
      <c r="D25" s="702">
        <v>0</v>
      </c>
      <c r="E25" s="702">
        <v>0</v>
      </c>
      <c r="F25" s="702">
        <v>0</v>
      </c>
      <c r="G25" s="702">
        <v>0</v>
      </c>
      <c r="H25" s="702">
        <v>0</v>
      </c>
      <c r="I25" s="702">
        <v>0</v>
      </c>
      <c r="J25" s="702">
        <f t="shared" si="0"/>
        <v>0</v>
      </c>
      <c r="K25" s="702">
        <f t="shared" si="1"/>
        <v>0</v>
      </c>
    </row>
    <row r="26" spans="1:11">
      <c r="A26" s="93">
        <v>18</v>
      </c>
      <c r="B26" s="94" t="s">
        <v>929</v>
      </c>
      <c r="C26" s="702">
        <v>1</v>
      </c>
      <c r="D26" s="702">
        <v>135</v>
      </c>
      <c r="E26" s="702">
        <v>9867</v>
      </c>
      <c r="F26" s="702">
        <v>0</v>
      </c>
      <c r="G26" s="702">
        <v>284</v>
      </c>
      <c r="H26" s="702">
        <v>284</v>
      </c>
      <c r="I26" s="702">
        <v>0</v>
      </c>
      <c r="J26" s="702">
        <f t="shared" si="0"/>
        <v>73.84</v>
      </c>
      <c r="K26" s="702">
        <f t="shared" si="1"/>
        <v>73.84</v>
      </c>
    </row>
    <row r="27" spans="1:11">
      <c r="A27" s="93">
        <v>19</v>
      </c>
      <c r="B27" s="94" t="s">
        <v>930</v>
      </c>
      <c r="C27" s="702">
        <v>0</v>
      </c>
      <c r="D27" s="702">
        <v>0</v>
      </c>
      <c r="E27" s="702">
        <v>0</v>
      </c>
      <c r="F27" s="702">
        <v>0</v>
      </c>
      <c r="G27" s="702">
        <v>0</v>
      </c>
      <c r="H27" s="702">
        <v>0</v>
      </c>
      <c r="I27" s="702">
        <v>0</v>
      </c>
      <c r="J27" s="702">
        <f t="shared" si="0"/>
        <v>0</v>
      </c>
      <c r="K27" s="702">
        <f t="shared" si="1"/>
        <v>0</v>
      </c>
    </row>
    <row r="28" spans="1:11">
      <c r="A28" s="93">
        <v>20</v>
      </c>
      <c r="B28" s="94" t="s">
        <v>931</v>
      </c>
      <c r="C28" s="702">
        <v>2</v>
      </c>
      <c r="D28" s="702">
        <v>1066</v>
      </c>
      <c r="E28" s="702">
        <v>160716</v>
      </c>
      <c r="F28" s="702">
        <v>0</v>
      </c>
      <c r="G28" s="702">
        <v>2852</v>
      </c>
      <c r="H28" s="702">
        <v>2819</v>
      </c>
      <c r="I28" s="702">
        <v>0</v>
      </c>
      <c r="J28" s="702">
        <f t="shared" si="0"/>
        <v>732.94</v>
      </c>
      <c r="K28" s="702">
        <f t="shared" si="1"/>
        <v>732.94</v>
      </c>
    </row>
    <row r="29" spans="1:11">
      <c r="A29" s="93">
        <v>21</v>
      </c>
      <c r="B29" s="94" t="s">
        <v>932</v>
      </c>
      <c r="C29" s="702">
        <v>0</v>
      </c>
      <c r="D29" s="702">
        <v>0</v>
      </c>
      <c r="E29" s="702">
        <v>0</v>
      </c>
      <c r="F29" s="702">
        <v>0</v>
      </c>
      <c r="G29" s="702">
        <v>0</v>
      </c>
      <c r="H29" s="702">
        <v>0</v>
      </c>
      <c r="I29" s="702">
        <v>0</v>
      </c>
      <c r="J29" s="702">
        <f t="shared" si="0"/>
        <v>0</v>
      </c>
      <c r="K29" s="702">
        <f t="shared" si="1"/>
        <v>0</v>
      </c>
    </row>
    <row r="30" spans="1:11">
      <c r="A30" s="93">
        <v>22</v>
      </c>
      <c r="B30" s="94" t="s">
        <v>933</v>
      </c>
      <c r="C30" s="702">
        <v>3</v>
      </c>
      <c r="D30" s="702">
        <v>18</v>
      </c>
      <c r="E30" s="702">
        <v>5206</v>
      </c>
      <c r="F30" s="702">
        <v>0</v>
      </c>
      <c r="G30" s="702">
        <v>60</v>
      </c>
      <c r="H30" s="702">
        <v>60</v>
      </c>
      <c r="I30" s="702">
        <v>0</v>
      </c>
      <c r="J30" s="702">
        <f t="shared" si="0"/>
        <v>15.6</v>
      </c>
      <c r="K30" s="702">
        <f t="shared" si="1"/>
        <v>15.6</v>
      </c>
    </row>
    <row r="31" spans="1:11">
      <c r="A31" s="93">
        <v>23</v>
      </c>
      <c r="B31" s="94" t="s">
        <v>934</v>
      </c>
      <c r="C31" s="702">
        <v>1</v>
      </c>
      <c r="D31" s="702">
        <v>57</v>
      </c>
      <c r="E31" s="702">
        <v>10267</v>
      </c>
      <c r="F31" s="702">
        <v>0</v>
      </c>
      <c r="G31" s="702">
        <v>142</v>
      </c>
      <c r="H31" s="702">
        <v>142</v>
      </c>
      <c r="I31" s="702">
        <v>0</v>
      </c>
      <c r="J31" s="702">
        <f t="shared" si="0"/>
        <v>36.92</v>
      </c>
      <c r="K31" s="702">
        <f t="shared" si="1"/>
        <v>36.92</v>
      </c>
    </row>
    <row r="32" spans="1:11">
      <c r="A32" s="93">
        <v>24</v>
      </c>
      <c r="B32" s="94" t="s">
        <v>935</v>
      </c>
      <c r="C32" s="702">
        <v>0</v>
      </c>
      <c r="D32" s="702">
        <v>0</v>
      </c>
      <c r="E32" s="702">
        <v>0</v>
      </c>
      <c r="F32" s="702">
        <v>0</v>
      </c>
      <c r="G32" s="702">
        <v>0</v>
      </c>
      <c r="H32" s="702">
        <v>0</v>
      </c>
      <c r="I32" s="702">
        <v>0</v>
      </c>
      <c r="J32" s="702">
        <f t="shared" si="0"/>
        <v>0</v>
      </c>
      <c r="K32" s="702">
        <f t="shared" si="1"/>
        <v>0</v>
      </c>
    </row>
    <row r="33" spans="1:12">
      <c r="A33" s="93">
        <v>25</v>
      </c>
      <c r="B33" s="94" t="s">
        <v>936</v>
      </c>
      <c r="C33" s="702">
        <v>6</v>
      </c>
      <c r="D33" s="702">
        <v>546</v>
      </c>
      <c r="E33" s="702">
        <v>77376</v>
      </c>
      <c r="F33" s="702">
        <v>0</v>
      </c>
      <c r="G33" s="702">
        <v>1212</v>
      </c>
      <c r="H33" s="702">
        <v>1212</v>
      </c>
      <c r="I33" s="702">
        <v>0</v>
      </c>
      <c r="J33" s="702">
        <f t="shared" si="0"/>
        <v>315.12</v>
      </c>
      <c r="K33" s="702">
        <f t="shared" si="1"/>
        <v>315.12</v>
      </c>
    </row>
    <row r="34" spans="1:12">
      <c r="A34" s="93">
        <v>26</v>
      </c>
      <c r="B34" s="94" t="s">
        <v>937</v>
      </c>
      <c r="C34" s="702">
        <v>3</v>
      </c>
      <c r="D34" s="702">
        <v>419</v>
      </c>
      <c r="E34" s="702">
        <v>59886</v>
      </c>
      <c r="F34" s="702">
        <v>0</v>
      </c>
      <c r="G34" s="702">
        <v>953</v>
      </c>
      <c r="H34" s="702">
        <v>953</v>
      </c>
      <c r="I34" s="702">
        <v>0</v>
      </c>
      <c r="J34" s="702">
        <f t="shared" si="0"/>
        <v>247.78</v>
      </c>
      <c r="K34" s="702">
        <f t="shared" si="1"/>
        <v>247.78</v>
      </c>
    </row>
    <row r="35" spans="1:12">
      <c r="A35" s="93">
        <v>27</v>
      </c>
      <c r="B35" s="94" t="s">
        <v>938</v>
      </c>
      <c r="C35" s="703">
        <v>5</v>
      </c>
      <c r="D35" s="703">
        <v>70</v>
      </c>
      <c r="E35" s="703">
        <v>15791</v>
      </c>
      <c r="F35" s="703">
        <v>0</v>
      </c>
      <c r="G35" s="703">
        <v>228</v>
      </c>
      <c r="H35" s="703">
        <v>228</v>
      </c>
      <c r="I35" s="703">
        <v>0</v>
      </c>
      <c r="J35" s="702">
        <f t="shared" si="0"/>
        <v>59.28</v>
      </c>
      <c r="K35" s="702">
        <f t="shared" si="1"/>
        <v>59.28</v>
      </c>
    </row>
    <row r="36" spans="1:12">
      <c r="A36" s="93">
        <v>28</v>
      </c>
      <c r="B36" s="94" t="s">
        <v>939</v>
      </c>
      <c r="C36" s="702">
        <v>0</v>
      </c>
      <c r="D36" s="702">
        <v>0</v>
      </c>
      <c r="E36" s="702">
        <v>0</v>
      </c>
      <c r="F36" s="702">
        <v>0</v>
      </c>
      <c r="G36" s="702">
        <v>0</v>
      </c>
      <c r="H36" s="702">
        <v>0</v>
      </c>
      <c r="I36" s="702">
        <v>0</v>
      </c>
      <c r="J36" s="702">
        <f t="shared" si="0"/>
        <v>0</v>
      </c>
      <c r="K36" s="702">
        <f t="shared" si="1"/>
        <v>0</v>
      </c>
    </row>
    <row r="37" spans="1:12">
      <c r="A37" s="93">
        <v>29</v>
      </c>
      <c r="B37" s="94" t="s">
        <v>940</v>
      </c>
      <c r="C37" s="702">
        <v>0</v>
      </c>
      <c r="D37" s="702">
        <v>0</v>
      </c>
      <c r="E37" s="702">
        <v>0</v>
      </c>
      <c r="F37" s="702">
        <v>0</v>
      </c>
      <c r="G37" s="702">
        <v>0</v>
      </c>
      <c r="H37" s="702">
        <v>0</v>
      </c>
      <c r="I37" s="702">
        <v>0</v>
      </c>
      <c r="J37" s="702">
        <f t="shared" si="0"/>
        <v>0</v>
      </c>
      <c r="K37" s="702">
        <f t="shared" si="1"/>
        <v>0</v>
      </c>
    </row>
    <row r="38" spans="1:12">
      <c r="A38" s="93">
        <v>30</v>
      </c>
      <c r="B38" s="94" t="s">
        <v>941</v>
      </c>
      <c r="C38" s="703">
        <v>1</v>
      </c>
      <c r="D38" s="703">
        <v>551</v>
      </c>
      <c r="E38" s="703">
        <v>115272</v>
      </c>
      <c r="F38" s="703">
        <v>0</v>
      </c>
      <c r="G38" s="703">
        <v>1246</v>
      </c>
      <c r="H38" s="703">
        <v>1246</v>
      </c>
      <c r="I38" s="703">
        <v>0</v>
      </c>
      <c r="J38" s="702">
        <f t="shared" si="0"/>
        <v>323.95999999999998</v>
      </c>
      <c r="K38" s="702">
        <f t="shared" si="1"/>
        <v>323.95999999999998</v>
      </c>
    </row>
    <row r="39" spans="1:12">
      <c r="A39" s="93">
        <v>31</v>
      </c>
      <c r="B39" s="94" t="s">
        <v>942</v>
      </c>
      <c r="C39" s="703">
        <v>12</v>
      </c>
      <c r="D39" s="703">
        <v>198</v>
      </c>
      <c r="E39" s="703">
        <v>28794</v>
      </c>
      <c r="F39" s="703">
        <v>0</v>
      </c>
      <c r="G39" s="703">
        <v>710</v>
      </c>
      <c r="H39" s="703">
        <v>710</v>
      </c>
      <c r="I39" s="703">
        <v>0</v>
      </c>
      <c r="J39" s="702">
        <f t="shared" si="0"/>
        <v>184.6</v>
      </c>
      <c r="K39" s="702">
        <f t="shared" si="1"/>
        <v>184.6</v>
      </c>
    </row>
    <row r="40" spans="1:12">
      <c r="A40" s="93">
        <v>32</v>
      </c>
      <c r="B40" s="94" t="s">
        <v>943</v>
      </c>
      <c r="C40" s="702">
        <v>0</v>
      </c>
      <c r="D40" s="702">
        <v>0</v>
      </c>
      <c r="E40" s="702">
        <v>0</v>
      </c>
      <c r="F40" s="702">
        <v>0</v>
      </c>
      <c r="G40" s="702">
        <v>0</v>
      </c>
      <c r="H40" s="702">
        <v>0</v>
      </c>
      <c r="I40" s="702">
        <v>0</v>
      </c>
      <c r="J40" s="702">
        <f t="shared" si="0"/>
        <v>0</v>
      </c>
      <c r="K40" s="702">
        <f t="shared" si="1"/>
        <v>0</v>
      </c>
    </row>
    <row r="41" spans="1:12">
      <c r="A41" s="93">
        <v>33</v>
      </c>
      <c r="B41" s="94" t="s">
        <v>944</v>
      </c>
      <c r="C41" s="702">
        <v>0</v>
      </c>
      <c r="D41" s="702">
        <v>0</v>
      </c>
      <c r="E41" s="702">
        <v>0</v>
      </c>
      <c r="F41" s="702">
        <v>0</v>
      </c>
      <c r="G41" s="702">
        <v>0</v>
      </c>
      <c r="H41" s="702">
        <v>0</v>
      </c>
      <c r="I41" s="702">
        <v>0</v>
      </c>
      <c r="J41" s="702">
        <f t="shared" si="0"/>
        <v>0</v>
      </c>
      <c r="K41" s="702">
        <f t="shared" si="1"/>
        <v>0</v>
      </c>
    </row>
    <row r="42" spans="1:12">
      <c r="A42" s="93">
        <v>34</v>
      </c>
      <c r="B42" s="94" t="s">
        <v>945</v>
      </c>
      <c r="C42" s="703">
        <v>13</v>
      </c>
      <c r="D42" s="703">
        <v>54</v>
      </c>
      <c r="E42" s="703">
        <v>11552</v>
      </c>
      <c r="F42" s="703">
        <v>0</v>
      </c>
      <c r="G42" s="703">
        <f>D42*2</f>
        <v>108</v>
      </c>
      <c r="H42" s="703">
        <v>108</v>
      </c>
      <c r="I42" s="703">
        <v>0</v>
      </c>
      <c r="J42" s="702">
        <f t="shared" si="0"/>
        <v>28.08</v>
      </c>
      <c r="K42" s="702">
        <f t="shared" si="1"/>
        <v>28.08</v>
      </c>
    </row>
    <row r="43" spans="1:12">
      <c r="A43" s="27" t="s">
        <v>17</v>
      </c>
      <c r="B43" s="9"/>
      <c r="C43" s="699">
        <f t="shared" ref="C43:K43" si="2">SUM(C9:C42)</f>
        <v>69</v>
      </c>
      <c r="D43" s="699">
        <f t="shared" si="2"/>
        <v>5366</v>
      </c>
      <c r="E43" s="699">
        <f t="shared" si="2"/>
        <v>829730</v>
      </c>
      <c r="F43" s="699">
        <f t="shared" si="2"/>
        <v>8</v>
      </c>
      <c r="G43" s="699">
        <f t="shared" si="2"/>
        <v>11581</v>
      </c>
      <c r="H43" s="699">
        <f t="shared" si="2"/>
        <v>11556</v>
      </c>
      <c r="I43" s="699">
        <f t="shared" si="2"/>
        <v>1.84</v>
      </c>
      <c r="J43" s="699">
        <f t="shared" si="2"/>
        <v>3004.5600000000004</v>
      </c>
      <c r="K43" s="699">
        <f t="shared" si="2"/>
        <v>3004.5600000000004</v>
      </c>
    </row>
    <row r="45" spans="1:12">
      <c r="A45" s="14" t="s">
        <v>450</v>
      </c>
    </row>
    <row r="47" spans="1:12">
      <c r="A47" s="204"/>
      <c r="B47" s="901" t="s">
        <v>906</v>
      </c>
      <c r="C47" s="901"/>
      <c r="D47" s="901"/>
      <c r="I47" s="901" t="s">
        <v>12</v>
      </c>
      <c r="J47" s="901"/>
      <c r="K47" s="901"/>
    </row>
    <row r="48" spans="1:12" ht="15" customHeight="1">
      <c r="A48" s="204"/>
      <c r="B48" s="901" t="s">
        <v>907</v>
      </c>
      <c r="C48" s="901"/>
      <c r="D48" s="901"/>
      <c r="I48" s="901" t="s">
        <v>13</v>
      </c>
      <c r="J48" s="901"/>
      <c r="K48" s="901"/>
      <c r="L48" s="219"/>
    </row>
    <row r="49" spans="1:12" ht="15" customHeight="1">
      <c r="A49" s="204"/>
      <c r="B49" s="901" t="s">
        <v>908</v>
      </c>
      <c r="C49" s="901"/>
      <c r="D49" s="901"/>
      <c r="I49" s="901" t="s">
        <v>87</v>
      </c>
      <c r="J49" s="901"/>
      <c r="K49" s="901"/>
      <c r="L49" s="219"/>
    </row>
    <row r="50" spans="1:12">
      <c r="A50" s="204" t="s">
        <v>11</v>
      </c>
      <c r="C50" s="204"/>
      <c r="D50" s="204"/>
      <c r="I50" s="897" t="s">
        <v>84</v>
      </c>
      <c r="J50" s="897"/>
      <c r="K50" s="209"/>
    </row>
  </sheetData>
  <mergeCells count="17">
    <mergeCell ref="A6:A7"/>
    <mergeCell ref="B6:B7"/>
    <mergeCell ref="C6:C7"/>
    <mergeCell ref="D6:H6"/>
    <mergeCell ref="I6:K6"/>
    <mergeCell ref="A1:I1"/>
    <mergeCell ref="J1:K1"/>
    <mergeCell ref="A2:K2"/>
    <mergeCell ref="A4:K4"/>
    <mergeCell ref="J5:L5"/>
    <mergeCell ref="B47:D47"/>
    <mergeCell ref="B48:D48"/>
    <mergeCell ref="B49:D49"/>
    <mergeCell ref="I49:K49"/>
    <mergeCell ref="I50:J50"/>
    <mergeCell ref="I47:K47"/>
    <mergeCell ref="I48:K48"/>
  </mergeCells>
  <printOptions horizontalCentered="1"/>
  <pageMargins left="0.70866141732283472" right="0.70866141732283472" top="0.23622047244094491" bottom="0"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2:IV34"/>
  <sheetViews>
    <sheetView view="pageBreakPreview" zoomScale="86" zoomScaleNormal="85" zoomScaleSheetLayoutView="86" workbookViewId="0">
      <selection activeCell="I25" sqref="I25"/>
    </sheetView>
  </sheetViews>
  <sheetFormatPr defaultRowHeight="12.75"/>
  <cols>
    <col min="1" max="1" width="4.85546875" customWidth="1"/>
    <col min="2" max="2" width="22.140625" customWidth="1"/>
    <col min="3" max="4" width="13" customWidth="1"/>
    <col min="5" max="5" width="11.7109375" customWidth="1"/>
    <col min="6" max="6" width="13.7109375" customWidth="1"/>
    <col min="7" max="7" width="11.42578125" customWidth="1"/>
    <col min="8" max="8" width="9.85546875" customWidth="1"/>
    <col min="9" max="9" width="10.5703125" customWidth="1"/>
    <col min="10" max="10" width="10.85546875" customWidth="1"/>
    <col min="11" max="11" width="12.85546875" customWidth="1"/>
    <col min="12" max="12" width="11.42578125" customWidth="1"/>
    <col min="13" max="13" width="11.140625" customWidth="1"/>
    <col min="14" max="14" width="11.5703125" customWidth="1"/>
    <col min="15" max="15" width="11.140625" customWidth="1"/>
    <col min="16" max="16" width="11.28515625" customWidth="1"/>
    <col min="17" max="17" width="10.28515625" customWidth="1"/>
    <col min="18" max="18" width="12.42578125" customWidth="1"/>
    <col min="19" max="19" width="10.5703125" customWidth="1"/>
    <col min="20" max="20" width="9.85546875" customWidth="1"/>
    <col min="21" max="21" width="9.42578125" bestFit="1" customWidth="1"/>
    <col min="22" max="22" width="12.140625" bestFit="1" customWidth="1"/>
    <col min="28" max="28" width="11" customWidth="1"/>
    <col min="29" max="30" width="8.85546875" hidden="1" customWidth="1"/>
  </cols>
  <sheetData>
    <row r="2" spans="1:256">
      <c r="G2" s="803"/>
      <c r="H2" s="803"/>
      <c r="I2" s="803"/>
      <c r="J2" s="803"/>
      <c r="K2" s="803"/>
      <c r="L2" s="803"/>
      <c r="M2" s="803"/>
      <c r="N2" s="803"/>
      <c r="O2" s="803"/>
      <c r="P2" s="1"/>
      <c r="Q2" s="1"/>
      <c r="R2" s="1"/>
      <c r="T2" s="45" t="s">
        <v>59</v>
      </c>
    </row>
    <row r="3" spans="1:256" ht="15">
      <c r="A3" s="862" t="s">
        <v>57</v>
      </c>
      <c r="B3" s="862"/>
      <c r="C3" s="862"/>
      <c r="D3" s="862"/>
      <c r="E3" s="862"/>
      <c r="F3" s="862"/>
      <c r="G3" s="862"/>
      <c r="H3" s="862"/>
      <c r="I3" s="862"/>
      <c r="J3" s="862"/>
      <c r="K3" s="862"/>
      <c r="L3" s="862"/>
      <c r="M3" s="862"/>
      <c r="N3" s="862"/>
      <c r="O3" s="862"/>
      <c r="P3" s="862"/>
      <c r="Q3" s="862"/>
      <c r="R3" s="862"/>
      <c r="S3" s="862"/>
      <c r="T3" s="862"/>
      <c r="U3" s="862"/>
    </row>
    <row r="4" spans="1:256" ht="15.75">
      <c r="A4" s="847" t="s">
        <v>745</v>
      </c>
      <c r="B4" s="847"/>
      <c r="C4" s="847"/>
      <c r="D4" s="847"/>
      <c r="E4" s="847"/>
      <c r="F4" s="847"/>
      <c r="G4" s="847"/>
      <c r="H4" s="847"/>
      <c r="I4" s="847"/>
      <c r="J4" s="847"/>
      <c r="K4" s="847"/>
      <c r="L4" s="847"/>
      <c r="M4" s="847"/>
      <c r="N4" s="847"/>
      <c r="O4" s="847"/>
      <c r="P4" s="847"/>
      <c r="Q4" s="847"/>
      <c r="R4" s="847"/>
      <c r="S4" s="847"/>
      <c r="T4" s="847"/>
      <c r="U4" s="847"/>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6" spans="1:256" ht="15">
      <c r="A6" s="863" t="s">
        <v>795</v>
      </c>
      <c r="B6" s="863"/>
      <c r="C6" s="863"/>
      <c r="D6" s="863"/>
      <c r="E6" s="863"/>
      <c r="F6" s="863"/>
      <c r="G6" s="863"/>
      <c r="H6" s="863"/>
      <c r="I6" s="863"/>
      <c r="J6" s="863"/>
      <c r="K6" s="863"/>
      <c r="L6" s="863"/>
      <c r="M6" s="863"/>
      <c r="N6" s="863"/>
      <c r="O6" s="863"/>
      <c r="P6" s="863"/>
      <c r="Q6" s="863"/>
      <c r="R6" s="863"/>
      <c r="S6" s="863"/>
      <c r="T6" s="863"/>
      <c r="U6" s="863"/>
    </row>
    <row r="7" spans="1:256" ht="15.75">
      <c r="A7" s="44"/>
      <c r="B7" s="44"/>
      <c r="C7" s="44"/>
      <c r="D7" s="44"/>
      <c r="E7" s="44"/>
      <c r="F7" s="44"/>
      <c r="G7" s="44"/>
      <c r="H7" s="44"/>
      <c r="I7" s="44"/>
      <c r="J7" s="44"/>
      <c r="K7" s="44"/>
      <c r="L7" s="44"/>
      <c r="M7" s="44"/>
      <c r="N7" s="44"/>
      <c r="O7" s="44"/>
      <c r="P7" s="44"/>
      <c r="Q7" s="44"/>
      <c r="R7" s="44"/>
      <c r="S7" s="44"/>
      <c r="T7" s="44"/>
      <c r="U7" s="44"/>
    </row>
    <row r="8" spans="1:256" ht="15.75">
      <c r="A8" s="850" t="s">
        <v>909</v>
      </c>
      <c r="B8" s="850"/>
      <c r="C8" s="850"/>
      <c r="D8" s="29"/>
      <c r="E8" s="29"/>
      <c r="F8" s="29"/>
      <c r="G8" s="44"/>
      <c r="H8" s="44"/>
      <c r="I8" s="44"/>
      <c r="J8" s="44"/>
      <c r="K8" s="44"/>
      <c r="L8" s="44"/>
      <c r="M8" s="44"/>
      <c r="N8" s="44"/>
      <c r="O8" s="44"/>
      <c r="P8" s="44"/>
      <c r="Q8" s="44"/>
      <c r="R8" s="44"/>
      <c r="S8" s="44"/>
      <c r="T8" s="44"/>
      <c r="U8" s="44"/>
    </row>
    <row r="10" spans="1:256" ht="15">
      <c r="U10" s="870" t="s">
        <v>461</v>
      </c>
      <c r="V10" s="870"/>
      <c r="W10" s="15"/>
      <c r="X10" s="15"/>
      <c r="Y10" s="15"/>
      <c r="Z10" s="15"/>
      <c r="AA10" s="15"/>
      <c r="AB10" s="860"/>
      <c r="AC10" s="860"/>
      <c r="AD10" s="860"/>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2.75" customHeight="1">
      <c r="A11" s="864" t="s">
        <v>2</v>
      </c>
      <c r="B11" s="864" t="s">
        <v>111</v>
      </c>
      <c r="C11" s="836" t="s">
        <v>155</v>
      </c>
      <c r="D11" s="837"/>
      <c r="E11" s="837"/>
      <c r="F11" s="838"/>
      <c r="G11" s="867" t="s">
        <v>829</v>
      </c>
      <c r="H11" s="868"/>
      <c r="I11" s="868"/>
      <c r="J11" s="868"/>
      <c r="K11" s="868"/>
      <c r="L11" s="868"/>
      <c r="M11" s="868"/>
      <c r="N11" s="868"/>
      <c r="O11" s="868"/>
      <c r="P11" s="868"/>
      <c r="Q11" s="868"/>
      <c r="R11" s="869"/>
      <c r="S11" s="834" t="s">
        <v>244</v>
      </c>
      <c r="T11" s="834"/>
      <c r="U11" s="834"/>
      <c r="V11" s="834"/>
      <c r="W11" s="125"/>
      <c r="X11" s="125"/>
      <c r="Y11" s="125"/>
      <c r="Z11" s="125"/>
      <c r="AA11" s="125"/>
      <c r="AB11" s="125"/>
      <c r="AC11" s="125"/>
      <c r="AD11" s="125"/>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c r="A12" s="865"/>
      <c r="B12" s="865"/>
      <c r="C12" s="839"/>
      <c r="D12" s="840"/>
      <c r="E12" s="840"/>
      <c r="F12" s="841"/>
      <c r="G12" s="815" t="s">
        <v>174</v>
      </c>
      <c r="H12" s="866"/>
      <c r="I12" s="866"/>
      <c r="J12" s="816"/>
      <c r="K12" s="815" t="s">
        <v>175</v>
      </c>
      <c r="L12" s="866"/>
      <c r="M12" s="866"/>
      <c r="N12" s="816"/>
      <c r="O12" s="828" t="s">
        <v>17</v>
      </c>
      <c r="P12" s="828"/>
      <c r="Q12" s="828"/>
      <c r="R12" s="828"/>
      <c r="S12" s="834"/>
      <c r="T12" s="834"/>
      <c r="U12" s="834"/>
      <c r="V12" s="834"/>
      <c r="W12" s="125"/>
      <c r="X12" s="125"/>
      <c r="Y12" s="125"/>
      <c r="Z12" s="125"/>
      <c r="AA12" s="125"/>
      <c r="AB12" s="125"/>
      <c r="AC12" s="125"/>
      <c r="AD12" s="125"/>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38.25">
      <c r="A13" s="165"/>
      <c r="B13" s="165"/>
      <c r="C13" s="164" t="s">
        <v>245</v>
      </c>
      <c r="D13" s="164" t="s">
        <v>246</v>
      </c>
      <c r="E13" s="164" t="s">
        <v>247</v>
      </c>
      <c r="F13" s="164" t="s">
        <v>91</v>
      </c>
      <c r="G13" s="164" t="s">
        <v>245</v>
      </c>
      <c r="H13" s="164" t="s">
        <v>246</v>
      </c>
      <c r="I13" s="164" t="s">
        <v>247</v>
      </c>
      <c r="J13" s="164" t="s">
        <v>17</v>
      </c>
      <c r="K13" s="164" t="s">
        <v>245</v>
      </c>
      <c r="L13" s="164" t="s">
        <v>246</v>
      </c>
      <c r="M13" s="164" t="s">
        <v>247</v>
      </c>
      <c r="N13" s="164" t="s">
        <v>91</v>
      </c>
      <c r="O13" s="164" t="s">
        <v>245</v>
      </c>
      <c r="P13" s="164" t="s">
        <v>246</v>
      </c>
      <c r="Q13" s="164" t="s">
        <v>247</v>
      </c>
      <c r="R13" s="164" t="s">
        <v>17</v>
      </c>
      <c r="S13" s="5" t="s">
        <v>457</v>
      </c>
      <c r="T13" s="5" t="s">
        <v>458</v>
      </c>
      <c r="U13" s="5" t="s">
        <v>459</v>
      </c>
      <c r="V13" s="254" t="s">
        <v>460</v>
      </c>
      <c r="W13" s="125"/>
      <c r="X13" s="125"/>
      <c r="Y13" s="125"/>
      <c r="Z13" s="125"/>
      <c r="AA13" s="125"/>
      <c r="AB13" s="125"/>
      <c r="AC13" s="125"/>
      <c r="AD13" s="125"/>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c r="A14" s="146">
        <v>1</v>
      </c>
      <c r="B14" s="166">
        <v>2</v>
      </c>
      <c r="C14" s="146">
        <v>3</v>
      </c>
      <c r="D14" s="146">
        <v>4</v>
      </c>
      <c r="E14" s="166">
        <v>5</v>
      </c>
      <c r="F14" s="146">
        <v>6</v>
      </c>
      <c r="G14" s="146">
        <v>7</v>
      </c>
      <c r="H14" s="166">
        <v>8</v>
      </c>
      <c r="I14" s="146">
        <v>9</v>
      </c>
      <c r="J14" s="146">
        <v>10</v>
      </c>
      <c r="K14" s="166">
        <v>11</v>
      </c>
      <c r="L14" s="146">
        <v>12</v>
      </c>
      <c r="M14" s="146">
        <v>13</v>
      </c>
      <c r="N14" s="166">
        <v>14</v>
      </c>
      <c r="O14" s="146">
        <v>15</v>
      </c>
      <c r="P14" s="146">
        <v>16</v>
      </c>
      <c r="Q14" s="166">
        <v>17</v>
      </c>
      <c r="R14" s="146">
        <v>18</v>
      </c>
      <c r="S14" s="146">
        <v>19</v>
      </c>
      <c r="T14" s="166">
        <v>20</v>
      </c>
      <c r="U14" s="146">
        <v>21</v>
      </c>
      <c r="V14" s="146">
        <v>22</v>
      </c>
      <c r="W14" s="167"/>
      <c r="X14" s="167"/>
      <c r="Y14" s="167"/>
      <c r="Z14" s="167"/>
      <c r="AA14" s="167"/>
      <c r="AB14" s="167"/>
      <c r="AC14" s="167"/>
      <c r="AD14" s="167"/>
      <c r="AE14" s="167"/>
      <c r="AF14" s="167"/>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row>
    <row r="15" spans="1:256" ht="31.5">
      <c r="A15" s="377"/>
      <c r="B15" s="378" t="s">
        <v>232</v>
      </c>
      <c r="C15" s="377"/>
      <c r="D15" s="377"/>
      <c r="E15" s="377"/>
      <c r="F15" s="379"/>
      <c r="G15" s="377"/>
      <c r="H15" s="377"/>
      <c r="I15" s="377"/>
      <c r="J15" s="379"/>
      <c r="K15" s="377"/>
      <c r="L15" s="377"/>
      <c r="M15" s="377"/>
      <c r="N15" s="377"/>
      <c r="O15" s="377"/>
      <c r="P15" s="377"/>
      <c r="Q15" s="377"/>
      <c r="R15" s="377"/>
      <c r="S15" s="377"/>
      <c r="T15" s="380"/>
      <c r="U15" s="380"/>
      <c r="V15" s="380"/>
      <c r="W15" s="126"/>
      <c r="X15" s="126"/>
      <c r="Y15" s="126"/>
      <c r="Z15" s="126"/>
      <c r="AA15" s="126"/>
      <c r="AB15" s="126"/>
      <c r="AC15" s="126"/>
      <c r="AD15" s="126"/>
      <c r="AE15" s="126"/>
      <c r="AF15" s="126"/>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ht="34.5" customHeight="1">
      <c r="A16" s="381">
        <v>1</v>
      </c>
      <c r="B16" s="378" t="s">
        <v>180</v>
      </c>
      <c r="C16" s="382">
        <f>ROUND(F16*0.73,2)</f>
        <v>2915.8</v>
      </c>
      <c r="D16" s="382">
        <f>ROUND(F16*0.19,2)</f>
        <v>758.91</v>
      </c>
      <c r="E16" s="383">
        <f>F16-C16-D16</f>
        <v>319.52999999999963</v>
      </c>
      <c r="F16" s="388">
        <v>3994.24</v>
      </c>
      <c r="G16" s="382">
        <f>ROUND(J16*0.73,2)</f>
        <v>2591.46</v>
      </c>
      <c r="H16" s="382">
        <f>ROUND(J16*0.19,2)</f>
        <v>674.49</v>
      </c>
      <c r="I16" s="383">
        <f>J16-G16-H16</f>
        <v>284.00000000000023</v>
      </c>
      <c r="J16" s="388">
        <v>3549.9500000000003</v>
      </c>
      <c r="K16" s="382">
        <f t="shared" ref="K16" si="0">ROUND(N16*0.73,2)</f>
        <v>0</v>
      </c>
      <c r="L16" s="382">
        <f t="shared" ref="L16" si="1">ROUND(N16*0.19,2)</f>
        <v>0</v>
      </c>
      <c r="M16" s="382">
        <f t="shared" ref="M16" si="2">N16-K16-L16</f>
        <v>0</v>
      </c>
      <c r="N16" s="388">
        <v>0</v>
      </c>
      <c r="O16" s="382">
        <f t="shared" ref="O16:O20" si="3">ROUND(R16*0.73,2)</f>
        <v>2591.46</v>
      </c>
      <c r="P16" s="382">
        <f t="shared" ref="P16:P20" si="4">ROUND(R16*0.19,2)</f>
        <v>674.49</v>
      </c>
      <c r="Q16" s="382">
        <f t="shared" ref="Q16:Q20" si="5">R16-O16-P16</f>
        <v>284.00000000000023</v>
      </c>
      <c r="R16" s="388">
        <f>J16+N16</f>
        <v>3549.9500000000003</v>
      </c>
      <c r="S16" s="383">
        <f>C16-O16</f>
        <v>324.34000000000015</v>
      </c>
      <c r="T16" s="383">
        <f t="shared" ref="T16:U16" si="6">D16-P16</f>
        <v>84.419999999999959</v>
      </c>
      <c r="U16" s="383">
        <f t="shared" si="6"/>
        <v>35.529999999999404</v>
      </c>
      <c r="V16" s="388">
        <f>F16-R16</f>
        <v>444.28999999999951</v>
      </c>
      <c r="W16" s="126"/>
      <c r="X16" s="126"/>
      <c r="Y16" s="126"/>
      <c r="Z16" s="126"/>
      <c r="AA16" s="126"/>
      <c r="AB16" s="126"/>
      <c r="AC16" s="126"/>
      <c r="AD16" s="126"/>
      <c r="AE16" s="126"/>
      <c r="AF16" s="126"/>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8" ht="21.75" customHeight="1">
      <c r="A17" s="381">
        <v>2</v>
      </c>
      <c r="B17" s="384" t="s">
        <v>127</v>
      </c>
      <c r="C17" s="382">
        <f t="shared" ref="C17:C20" si="7">ROUND(F17*0.73,2)</f>
        <v>44986.86</v>
      </c>
      <c r="D17" s="382">
        <f t="shared" ref="D17:D20" si="8">ROUND(F17*0.19,2)</f>
        <v>11708.91</v>
      </c>
      <c r="E17" s="383">
        <f t="shared" ref="E17:E20" si="9">F17-C17-D17</f>
        <v>4930.0700000000033</v>
      </c>
      <c r="F17" s="388">
        <v>61625.840000000004</v>
      </c>
      <c r="G17" s="382">
        <f t="shared" ref="G17:G20" si="10">ROUND(J17*0.73,2)</f>
        <v>26811.64</v>
      </c>
      <c r="H17" s="382">
        <f t="shared" ref="H17:H20" si="11">ROUND(J17*0.19,2)</f>
        <v>6978.37</v>
      </c>
      <c r="I17" s="383">
        <f t="shared" ref="I17:I20" si="12">J17-G17-H17</f>
        <v>2938.2600000000048</v>
      </c>
      <c r="J17" s="388">
        <v>36728.270000000004</v>
      </c>
      <c r="K17" s="382">
        <f>ROUND(N17*0.73,2)</f>
        <v>17874.419999999998</v>
      </c>
      <c r="L17" s="382">
        <f>ROUND(N17*0.19,2)</f>
        <v>4652.25</v>
      </c>
      <c r="M17" s="382">
        <f>N17-K17-L17</f>
        <v>1958.8400000000038</v>
      </c>
      <c r="N17" s="387">
        <v>24485.510000000002</v>
      </c>
      <c r="O17" s="382">
        <f t="shared" si="3"/>
        <v>44686.06</v>
      </c>
      <c r="P17" s="382">
        <f t="shared" si="4"/>
        <v>11630.62</v>
      </c>
      <c r="Q17" s="382">
        <f t="shared" si="5"/>
        <v>4897.1000000000076</v>
      </c>
      <c r="R17" s="388">
        <f t="shared" ref="R17:R20" si="13">J17+N17</f>
        <v>61213.780000000006</v>
      </c>
      <c r="S17" s="383">
        <f t="shared" ref="S17:S19" si="14">C17-O17</f>
        <v>300.80000000000291</v>
      </c>
      <c r="T17" s="383">
        <f t="shared" ref="T17:T19" si="15">D17-P17</f>
        <v>78.289999999999054</v>
      </c>
      <c r="U17" s="383">
        <f t="shared" ref="U17:U19" si="16">E17-Q17</f>
        <v>32.969999999995707</v>
      </c>
      <c r="V17" s="388">
        <f t="shared" ref="V17:V20" si="17">F17-R17</f>
        <v>412.05999999999767</v>
      </c>
      <c r="Y17" s="850"/>
      <c r="Z17" s="850"/>
      <c r="AA17" s="850"/>
      <c r="AB17" s="850"/>
    </row>
    <row r="18" spans="1:28" ht="31.5">
      <c r="A18" s="381">
        <v>3</v>
      </c>
      <c r="B18" s="378" t="s">
        <v>128</v>
      </c>
      <c r="C18" s="382">
        <f t="shared" si="7"/>
        <v>1552.99</v>
      </c>
      <c r="D18" s="382">
        <f t="shared" si="8"/>
        <v>404.2</v>
      </c>
      <c r="E18" s="383">
        <f t="shared" si="9"/>
        <v>170.19999999999987</v>
      </c>
      <c r="F18" s="388">
        <v>2127.39</v>
      </c>
      <c r="G18" s="382">
        <f t="shared" si="10"/>
        <v>1457.95</v>
      </c>
      <c r="H18" s="382">
        <f t="shared" si="11"/>
        <v>379.47</v>
      </c>
      <c r="I18" s="383">
        <f t="shared" si="12"/>
        <v>159.76999999999998</v>
      </c>
      <c r="J18" s="388">
        <v>1997.19</v>
      </c>
      <c r="K18" s="382">
        <f t="shared" ref="K18:K20" si="18">ROUND(N18*0.73,2)</f>
        <v>0</v>
      </c>
      <c r="L18" s="382">
        <f t="shared" ref="L18:L20" si="19">ROUND(N18*0.19,2)</f>
        <v>0</v>
      </c>
      <c r="M18" s="382">
        <f t="shared" ref="M18:M20" si="20">N18-K18-L18</f>
        <v>0</v>
      </c>
      <c r="N18" s="388">
        <v>0</v>
      </c>
      <c r="O18" s="382">
        <f t="shared" si="3"/>
        <v>1457.95</v>
      </c>
      <c r="P18" s="382">
        <f t="shared" si="4"/>
        <v>379.47</v>
      </c>
      <c r="Q18" s="382">
        <f t="shared" si="5"/>
        <v>159.76999999999998</v>
      </c>
      <c r="R18" s="388">
        <f t="shared" si="13"/>
        <v>1997.19</v>
      </c>
      <c r="S18" s="383">
        <f t="shared" si="14"/>
        <v>95.039999999999964</v>
      </c>
      <c r="T18" s="383">
        <f t="shared" si="15"/>
        <v>24.729999999999961</v>
      </c>
      <c r="U18" s="383">
        <f t="shared" si="16"/>
        <v>10.429999999999893</v>
      </c>
      <c r="V18" s="388">
        <f t="shared" si="17"/>
        <v>130.19999999999982</v>
      </c>
    </row>
    <row r="19" spans="1:28" ht="15.75">
      <c r="A19" s="381">
        <v>4</v>
      </c>
      <c r="B19" s="384" t="s">
        <v>129</v>
      </c>
      <c r="C19" s="382">
        <f t="shared" si="7"/>
        <v>1013.98</v>
      </c>
      <c r="D19" s="382">
        <f t="shared" si="8"/>
        <v>263.91000000000003</v>
      </c>
      <c r="E19" s="383">
        <f t="shared" si="9"/>
        <v>111.12999999999994</v>
      </c>
      <c r="F19" s="388">
        <v>1389.02</v>
      </c>
      <c r="G19" s="382">
        <f t="shared" si="10"/>
        <v>1036.02</v>
      </c>
      <c r="H19" s="382">
        <f t="shared" si="11"/>
        <v>269.64999999999998</v>
      </c>
      <c r="I19" s="383">
        <f t="shared" si="12"/>
        <v>113.53000000000009</v>
      </c>
      <c r="J19" s="388">
        <v>1419.2</v>
      </c>
      <c r="K19" s="382">
        <f t="shared" si="18"/>
        <v>0</v>
      </c>
      <c r="L19" s="382">
        <f t="shared" si="19"/>
        <v>0</v>
      </c>
      <c r="M19" s="382">
        <f t="shared" si="20"/>
        <v>0</v>
      </c>
      <c r="N19" s="388">
        <v>0</v>
      </c>
      <c r="O19" s="382">
        <f t="shared" si="3"/>
        <v>1036.02</v>
      </c>
      <c r="P19" s="382">
        <f t="shared" si="4"/>
        <v>269.64999999999998</v>
      </c>
      <c r="Q19" s="382">
        <f t="shared" si="5"/>
        <v>113.53000000000009</v>
      </c>
      <c r="R19" s="388">
        <f t="shared" si="13"/>
        <v>1419.2</v>
      </c>
      <c r="S19" s="383">
        <f t="shared" si="14"/>
        <v>-22.039999999999964</v>
      </c>
      <c r="T19" s="383">
        <f t="shared" si="15"/>
        <v>-5.7399999999999523</v>
      </c>
      <c r="U19" s="383">
        <f t="shared" si="16"/>
        <v>-2.4000000000001478</v>
      </c>
      <c r="V19" s="388">
        <f t="shared" si="17"/>
        <v>-30.180000000000064</v>
      </c>
    </row>
    <row r="20" spans="1:28" ht="31.5">
      <c r="A20" s="381">
        <v>5</v>
      </c>
      <c r="B20" s="378" t="s">
        <v>130</v>
      </c>
      <c r="C20" s="382">
        <f t="shared" si="7"/>
        <v>26844.59</v>
      </c>
      <c r="D20" s="382">
        <f t="shared" si="8"/>
        <v>6986.95</v>
      </c>
      <c r="E20" s="383">
        <f t="shared" si="9"/>
        <v>2941.8679999999958</v>
      </c>
      <c r="F20" s="388">
        <v>36773.407999999996</v>
      </c>
      <c r="G20" s="382">
        <f t="shared" si="10"/>
        <v>6080.13</v>
      </c>
      <c r="H20" s="382">
        <f t="shared" si="11"/>
        <v>1582.5</v>
      </c>
      <c r="I20" s="383">
        <f t="shared" si="12"/>
        <v>666.3100000000004</v>
      </c>
      <c r="J20" s="388">
        <v>8328.94</v>
      </c>
      <c r="K20" s="382">
        <f t="shared" si="18"/>
        <v>20667.259999999998</v>
      </c>
      <c r="L20" s="382">
        <f t="shared" si="19"/>
        <v>5379.15</v>
      </c>
      <c r="M20" s="382">
        <f t="shared" si="20"/>
        <v>2264.9000000000033</v>
      </c>
      <c r="N20" s="387">
        <v>28311.31</v>
      </c>
      <c r="O20" s="382">
        <f t="shared" si="3"/>
        <v>26747.38</v>
      </c>
      <c r="P20" s="382">
        <f t="shared" si="4"/>
        <v>6961.65</v>
      </c>
      <c r="Q20" s="382">
        <f t="shared" si="5"/>
        <v>2931.2199999999993</v>
      </c>
      <c r="R20" s="388">
        <f t="shared" si="13"/>
        <v>36640.25</v>
      </c>
      <c r="S20" s="383">
        <f t="shared" ref="S20" si="21">C20-O20</f>
        <v>97.209999999999127</v>
      </c>
      <c r="T20" s="383">
        <f t="shared" ref="T20" si="22">D20-P20</f>
        <v>25.300000000000182</v>
      </c>
      <c r="U20" s="383">
        <f t="shared" ref="U20" si="23">E20-Q20</f>
        <v>10.6479999999965</v>
      </c>
      <c r="V20" s="388">
        <f t="shared" si="17"/>
        <v>133.15799999999581</v>
      </c>
    </row>
    <row r="21" spans="1:28" s="15" customFormat="1" ht="24" customHeight="1">
      <c r="A21" s="385"/>
      <c r="B21" s="386" t="s">
        <v>91</v>
      </c>
      <c r="C21" s="387">
        <f t="shared" ref="C21:J21" si="24">SUM(C16:C20)</f>
        <v>77314.22</v>
      </c>
      <c r="D21" s="387">
        <f t="shared" si="24"/>
        <v>20122.88</v>
      </c>
      <c r="E21" s="388">
        <f t="shared" si="24"/>
        <v>8472.7979999999989</v>
      </c>
      <c r="F21" s="388">
        <f t="shared" si="24"/>
        <v>105909.898</v>
      </c>
      <c r="G21" s="388">
        <f t="shared" si="24"/>
        <v>37977.199999999997</v>
      </c>
      <c r="H21" s="388">
        <f t="shared" si="24"/>
        <v>9884.48</v>
      </c>
      <c r="I21" s="388">
        <f t="shared" si="24"/>
        <v>4161.8700000000053</v>
      </c>
      <c r="J21" s="388">
        <f t="shared" si="24"/>
        <v>52023.55</v>
      </c>
      <c r="K21" s="388">
        <f t="shared" ref="K21:M21" si="25">SUM(K16:K20)</f>
        <v>38541.679999999993</v>
      </c>
      <c r="L21" s="388">
        <f t="shared" si="25"/>
        <v>10031.4</v>
      </c>
      <c r="M21" s="388">
        <f t="shared" si="25"/>
        <v>4223.7400000000071</v>
      </c>
      <c r="N21" s="387">
        <f>SUM(N16:N20)</f>
        <v>52796.820000000007</v>
      </c>
      <c r="O21" s="388">
        <f>SUM(O16:O20)</f>
        <v>76518.87</v>
      </c>
      <c r="P21" s="388">
        <f t="shared" ref="P21:R21" si="26">SUM(P16:P20)</f>
        <v>19915.879999999997</v>
      </c>
      <c r="Q21" s="388">
        <f t="shared" si="26"/>
        <v>8385.6200000000063</v>
      </c>
      <c r="R21" s="388">
        <f t="shared" si="26"/>
        <v>104820.37</v>
      </c>
      <c r="S21" s="388">
        <f>SUM(S16:S20)</f>
        <v>795.35000000000218</v>
      </c>
      <c r="T21" s="388">
        <f t="shared" ref="T21:V21" si="27">SUM(T16:T20)</f>
        <v>206.9999999999992</v>
      </c>
      <c r="U21" s="388">
        <f t="shared" si="27"/>
        <v>87.177999999991357</v>
      </c>
      <c r="V21" s="388">
        <f t="shared" si="27"/>
        <v>1089.5279999999927</v>
      </c>
    </row>
    <row r="22" spans="1:28" ht="31.5">
      <c r="A22" s="381"/>
      <c r="B22" s="389" t="s">
        <v>233</v>
      </c>
      <c r="C22" s="382"/>
      <c r="D22" s="382"/>
      <c r="E22" s="382"/>
      <c r="F22" s="382"/>
      <c r="G22" s="382"/>
      <c r="H22" s="382"/>
      <c r="I22" s="382"/>
      <c r="J22" s="382"/>
      <c r="K22" s="382"/>
      <c r="L22" s="382"/>
      <c r="M22" s="382"/>
      <c r="N22" s="382"/>
      <c r="O22" s="382"/>
      <c r="P22" s="382"/>
      <c r="Q22" s="382"/>
      <c r="R22" s="382"/>
      <c r="S22" s="382"/>
      <c r="T22" s="382"/>
      <c r="U22" s="382"/>
      <c r="V22" s="382"/>
    </row>
    <row r="23" spans="1:28" ht="38.25" customHeight="1">
      <c r="A23" s="381">
        <v>6</v>
      </c>
      <c r="B23" s="378" t="s">
        <v>182</v>
      </c>
      <c r="C23" s="382"/>
      <c r="D23" s="382"/>
      <c r="E23" s="382"/>
      <c r="F23" s="382"/>
      <c r="G23" s="382"/>
      <c r="H23" s="382"/>
      <c r="I23" s="382"/>
      <c r="J23" s="382"/>
      <c r="K23" s="382"/>
      <c r="L23" s="382"/>
      <c r="M23" s="382"/>
      <c r="N23" s="382"/>
      <c r="O23" s="382"/>
      <c r="P23" s="382"/>
      <c r="Q23" s="382"/>
      <c r="R23" s="382"/>
      <c r="S23" s="382"/>
      <c r="T23" s="382"/>
      <c r="U23" s="382"/>
      <c r="V23" s="382"/>
    </row>
    <row r="24" spans="1:28" ht="20.25" customHeight="1">
      <c r="A24" s="381">
        <v>7</v>
      </c>
      <c r="B24" s="384" t="s">
        <v>132</v>
      </c>
      <c r="C24" s="382">
        <f>ROUND(F24*0.73,2)</f>
        <v>45.41</v>
      </c>
      <c r="D24" s="382">
        <f>ROUND(F24*0.19,2)</f>
        <v>11.82</v>
      </c>
      <c r="E24" s="383">
        <f>F24-C24-D24</f>
        <v>4.970000000000006</v>
      </c>
      <c r="F24" s="388">
        <v>62.2</v>
      </c>
      <c r="G24" s="383">
        <v>0</v>
      </c>
      <c r="H24" s="383">
        <v>0</v>
      </c>
      <c r="I24" s="383">
        <v>0</v>
      </c>
      <c r="J24" s="388">
        <f>SUM(G24:I24)</f>
        <v>0</v>
      </c>
      <c r="K24" s="383">
        <v>0</v>
      </c>
      <c r="L24" s="383">
        <v>0</v>
      </c>
      <c r="M24" s="383">
        <v>0</v>
      </c>
      <c r="N24" s="388">
        <f>SUM(K24:M24)</f>
        <v>0</v>
      </c>
      <c r="O24" s="383">
        <v>0</v>
      </c>
      <c r="P24" s="383">
        <v>0</v>
      </c>
      <c r="Q24" s="383">
        <v>0</v>
      </c>
      <c r="R24" s="388">
        <f>SUM(O24:Q24)</f>
        <v>0</v>
      </c>
      <c r="S24" s="383">
        <f>C24-O24</f>
        <v>45.41</v>
      </c>
      <c r="T24" s="383">
        <f t="shared" ref="T24:U24" si="28">D24-P24</f>
        <v>11.82</v>
      </c>
      <c r="U24" s="383">
        <f t="shared" si="28"/>
        <v>4.970000000000006</v>
      </c>
      <c r="V24" s="388">
        <f>SUM(S24:U24)</f>
        <v>62.2</v>
      </c>
    </row>
    <row r="25" spans="1:28" ht="31.5" customHeight="1">
      <c r="A25" s="381">
        <v>8</v>
      </c>
      <c r="B25" s="378" t="s">
        <v>849</v>
      </c>
      <c r="C25" s="382">
        <f>ROUND(F25*0.73,2)</f>
        <v>1317.87</v>
      </c>
      <c r="D25" s="382">
        <f>ROUND(F25*0.19,2)</f>
        <v>343.01</v>
      </c>
      <c r="E25" s="383">
        <f>F25-C25-D25</f>
        <v>144.42000000000007</v>
      </c>
      <c r="F25" s="388">
        <v>1805.3</v>
      </c>
      <c r="G25" s="383">
        <v>0</v>
      </c>
      <c r="H25" s="383">
        <v>0</v>
      </c>
      <c r="I25" s="383">
        <v>0</v>
      </c>
      <c r="J25" s="388">
        <f>SUM(G25:I25)</f>
        <v>0</v>
      </c>
      <c r="K25" s="383">
        <v>0</v>
      </c>
      <c r="L25" s="383">
        <v>0</v>
      </c>
      <c r="M25" s="383">
        <v>0</v>
      </c>
      <c r="N25" s="388">
        <f>SUM(K25:M25)</f>
        <v>0</v>
      </c>
      <c r="O25" s="383">
        <v>0</v>
      </c>
      <c r="P25" s="383">
        <v>0</v>
      </c>
      <c r="Q25" s="383">
        <v>0</v>
      </c>
      <c r="R25" s="388">
        <f>SUM(O25:Q25)</f>
        <v>0</v>
      </c>
      <c r="S25" s="383">
        <f t="shared" ref="S25" si="29">C25-O25</f>
        <v>1317.87</v>
      </c>
      <c r="T25" s="383">
        <f t="shared" ref="T25" si="30">D25-P25</f>
        <v>343.01</v>
      </c>
      <c r="U25" s="383">
        <f t="shared" ref="U25" si="31">E25-Q25</f>
        <v>144.42000000000007</v>
      </c>
      <c r="V25" s="388">
        <f>SUM(S25:U25)</f>
        <v>1805.3</v>
      </c>
    </row>
    <row r="26" spans="1:28" ht="25.5" customHeight="1">
      <c r="A26" s="380"/>
      <c r="B26" s="384" t="s">
        <v>91</v>
      </c>
      <c r="C26" s="388">
        <f>SUM(C24:C25)</f>
        <v>1363.28</v>
      </c>
      <c r="D26" s="388">
        <f t="shared" ref="D26:F26" si="32">SUM(D24:D25)</f>
        <v>354.83</v>
      </c>
      <c r="E26" s="388">
        <f t="shared" si="32"/>
        <v>149.39000000000007</v>
      </c>
      <c r="F26" s="388">
        <f t="shared" si="32"/>
        <v>1867.5</v>
      </c>
      <c r="G26" s="388">
        <f>SUM(G24:G25)</f>
        <v>0</v>
      </c>
      <c r="H26" s="388">
        <f t="shared" ref="H26:R26" si="33">SUM(H24:H25)</f>
        <v>0</v>
      </c>
      <c r="I26" s="388">
        <f t="shared" si="33"/>
        <v>0</v>
      </c>
      <c r="J26" s="388">
        <f t="shared" si="33"/>
        <v>0</v>
      </c>
      <c r="K26" s="388">
        <f t="shared" si="33"/>
        <v>0</v>
      </c>
      <c r="L26" s="388">
        <f t="shared" si="33"/>
        <v>0</v>
      </c>
      <c r="M26" s="388">
        <f t="shared" si="33"/>
        <v>0</v>
      </c>
      <c r="N26" s="388">
        <f t="shared" si="33"/>
        <v>0</v>
      </c>
      <c r="O26" s="388">
        <f t="shared" si="33"/>
        <v>0</v>
      </c>
      <c r="P26" s="388">
        <f t="shared" si="33"/>
        <v>0</v>
      </c>
      <c r="Q26" s="388">
        <f t="shared" si="33"/>
        <v>0</v>
      </c>
      <c r="R26" s="388">
        <f t="shared" si="33"/>
        <v>0</v>
      </c>
      <c r="S26" s="388">
        <f>SUM(S24:S25)</f>
        <v>1363.28</v>
      </c>
      <c r="T26" s="388">
        <f t="shared" ref="T26:V26" si="34">SUM(T24:T25)</f>
        <v>354.83</v>
      </c>
      <c r="U26" s="388">
        <f t="shared" si="34"/>
        <v>149.39000000000007</v>
      </c>
      <c r="V26" s="388">
        <f t="shared" si="34"/>
        <v>1867.5</v>
      </c>
    </row>
    <row r="27" spans="1:28" ht="21.75" customHeight="1">
      <c r="A27" s="380"/>
      <c r="B27" s="384" t="s">
        <v>36</v>
      </c>
      <c r="C27" s="388">
        <f>C21+C26</f>
        <v>78677.5</v>
      </c>
      <c r="D27" s="388">
        <f t="shared" ref="D27:V27" si="35">D21+D26</f>
        <v>20477.710000000003</v>
      </c>
      <c r="E27" s="388">
        <f t="shared" si="35"/>
        <v>8622.1879999999983</v>
      </c>
      <c r="F27" s="388">
        <f t="shared" si="35"/>
        <v>107777.398</v>
      </c>
      <c r="G27" s="388">
        <f t="shared" si="35"/>
        <v>37977.199999999997</v>
      </c>
      <c r="H27" s="388">
        <f t="shared" si="35"/>
        <v>9884.48</v>
      </c>
      <c r="I27" s="388">
        <f t="shared" si="35"/>
        <v>4161.8700000000053</v>
      </c>
      <c r="J27" s="388">
        <f t="shared" si="35"/>
        <v>52023.55</v>
      </c>
      <c r="K27" s="388">
        <f t="shared" si="35"/>
        <v>38541.679999999993</v>
      </c>
      <c r="L27" s="388">
        <f t="shared" si="35"/>
        <v>10031.4</v>
      </c>
      <c r="M27" s="388">
        <f t="shared" si="35"/>
        <v>4223.7400000000071</v>
      </c>
      <c r="N27" s="388">
        <f t="shared" si="35"/>
        <v>52796.820000000007</v>
      </c>
      <c r="O27" s="388">
        <f t="shared" si="35"/>
        <v>76518.87</v>
      </c>
      <c r="P27" s="388">
        <f t="shared" si="35"/>
        <v>19915.879999999997</v>
      </c>
      <c r="Q27" s="388">
        <f t="shared" si="35"/>
        <v>8385.6200000000063</v>
      </c>
      <c r="R27" s="388">
        <f t="shared" si="35"/>
        <v>104820.37</v>
      </c>
      <c r="S27" s="388">
        <f t="shared" si="35"/>
        <v>2158.6300000000019</v>
      </c>
      <c r="T27" s="388">
        <f t="shared" si="35"/>
        <v>561.82999999999925</v>
      </c>
      <c r="U27" s="388">
        <f t="shared" si="35"/>
        <v>236.56799999999143</v>
      </c>
      <c r="V27" s="388">
        <f t="shared" si="35"/>
        <v>2957.027999999993</v>
      </c>
    </row>
    <row r="28" spans="1:28" ht="31.5" customHeight="1"/>
    <row r="30" spans="1:28">
      <c r="A30" s="14"/>
      <c r="B30" s="14"/>
      <c r="C30" s="14"/>
      <c r="D30" s="14"/>
      <c r="E30" s="803" t="s">
        <v>906</v>
      </c>
      <c r="F30" s="803"/>
      <c r="G30" s="803"/>
      <c r="H30" s="803"/>
      <c r="I30" s="14"/>
      <c r="J30" s="14"/>
      <c r="K30" s="14"/>
      <c r="L30" s="14"/>
      <c r="M30" s="14"/>
      <c r="N30" s="14"/>
      <c r="O30" s="14"/>
      <c r="P30" s="14"/>
      <c r="Q30" s="804" t="s">
        <v>12</v>
      </c>
      <c r="R30" s="804"/>
      <c r="S30" s="804"/>
      <c r="T30" s="804"/>
      <c r="U30" s="804"/>
      <c r="V30" s="14"/>
    </row>
    <row r="31" spans="1:28">
      <c r="A31" s="14"/>
      <c r="B31" s="367"/>
      <c r="C31" s="367"/>
      <c r="D31" s="367"/>
      <c r="E31" s="804" t="s">
        <v>907</v>
      </c>
      <c r="F31" s="804"/>
      <c r="G31" s="804"/>
      <c r="H31" s="804"/>
      <c r="I31" s="367"/>
      <c r="J31" s="367"/>
      <c r="K31" s="367"/>
      <c r="L31" s="367"/>
      <c r="M31" s="367"/>
      <c r="N31" s="367"/>
      <c r="O31" s="367"/>
      <c r="P31" s="367"/>
      <c r="Q31" s="804" t="s">
        <v>13</v>
      </c>
      <c r="R31" s="804"/>
      <c r="S31" s="804"/>
      <c r="T31" s="804"/>
      <c r="U31" s="804"/>
      <c r="V31" s="367"/>
    </row>
    <row r="32" spans="1:28" ht="12.75" customHeight="1">
      <c r="A32" s="369"/>
      <c r="B32" s="367"/>
      <c r="C32" s="367"/>
      <c r="D32" s="367"/>
      <c r="E32" s="804" t="s">
        <v>908</v>
      </c>
      <c r="F32" s="804"/>
      <c r="G32" s="804"/>
      <c r="H32" s="804"/>
      <c r="I32" s="367"/>
      <c r="J32" s="367"/>
      <c r="K32" s="367"/>
      <c r="L32" s="367"/>
      <c r="M32" s="367"/>
      <c r="N32" s="367"/>
      <c r="O32" s="367"/>
      <c r="P32" s="367"/>
      <c r="Q32" s="804" t="s">
        <v>18</v>
      </c>
      <c r="R32" s="804"/>
      <c r="S32" s="804"/>
      <c r="T32" s="804"/>
      <c r="U32" s="804"/>
      <c r="V32" s="366"/>
    </row>
    <row r="33" spans="1:22">
      <c r="A33" s="14"/>
      <c r="B33" s="14"/>
      <c r="C33" s="14"/>
      <c r="D33" s="14"/>
      <c r="E33" s="14"/>
      <c r="F33" s="14"/>
      <c r="G33" s="14"/>
      <c r="H33" s="14"/>
      <c r="I33" s="14"/>
      <c r="J33" s="14"/>
      <c r="K33" s="14"/>
      <c r="L33" s="14"/>
      <c r="M33" s="14"/>
      <c r="N33" s="14"/>
      <c r="O33" s="14"/>
      <c r="P33" s="14"/>
      <c r="Q33" s="14"/>
      <c r="R33" s="14"/>
      <c r="S33" s="365" t="s">
        <v>84</v>
      </c>
      <c r="T33" s="365"/>
      <c r="U33" s="365"/>
      <c r="V33" s="365"/>
    </row>
    <row r="34" spans="1:22" ht="15.75">
      <c r="A34" s="13"/>
      <c r="B34" s="13" t="s">
        <v>11</v>
      </c>
    </row>
  </sheetData>
  <mergeCells count="22">
    <mergeCell ref="E30:H30"/>
    <mergeCell ref="Q30:U30"/>
    <mergeCell ref="E31:H31"/>
    <mergeCell ref="Q31:U31"/>
    <mergeCell ref="E32:H32"/>
    <mergeCell ref="Q32:U32"/>
    <mergeCell ref="Y17:AB17"/>
    <mergeCell ref="AB10:AD10"/>
    <mergeCell ref="A11:A12"/>
    <mergeCell ref="B11:B12"/>
    <mergeCell ref="C11:F12"/>
    <mergeCell ref="G12:J12"/>
    <mergeCell ref="K12:N12"/>
    <mergeCell ref="O12:R12"/>
    <mergeCell ref="G11:R11"/>
    <mergeCell ref="U10:V10"/>
    <mergeCell ref="S11:V12"/>
    <mergeCell ref="G2:O2"/>
    <mergeCell ref="A3:U3"/>
    <mergeCell ref="A4:U4"/>
    <mergeCell ref="A6:U6"/>
    <mergeCell ref="A8:C8"/>
  </mergeCells>
  <printOptions horizontalCentered="1"/>
  <pageMargins left="0.70866141732283472" right="0.70866141732283472" top="0.23622047244094491" bottom="0" header="0.31496062992125984" footer="0.31496062992125984"/>
  <pageSetup paperSize="9" scale="52"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sheetPr codeName="Sheet50">
    <pageSetUpPr fitToPage="1"/>
  </sheetPr>
  <dimension ref="A1:O52"/>
  <sheetViews>
    <sheetView topLeftCell="A28" zoomScale="85" zoomScaleNormal="85" zoomScaleSheetLayoutView="80" workbookViewId="0">
      <selection activeCell="C40" sqref="C40"/>
    </sheetView>
  </sheetViews>
  <sheetFormatPr defaultRowHeight="12.75"/>
  <cols>
    <col min="1" max="1" width="7.85546875" customWidth="1"/>
    <col min="2" max="2" width="18.42578125" bestFit="1" customWidth="1"/>
    <col min="4" max="4" width="24.42578125"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c r="A1" s="911" t="s">
        <v>0</v>
      </c>
      <c r="B1" s="911"/>
      <c r="C1" s="911"/>
      <c r="D1" s="911"/>
      <c r="E1" s="911"/>
      <c r="F1" s="911"/>
      <c r="G1" s="911"/>
      <c r="H1" s="911"/>
      <c r="I1" s="911"/>
      <c r="J1" s="911"/>
      <c r="K1" s="911"/>
      <c r="L1" s="911"/>
      <c r="M1" s="911"/>
      <c r="N1" s="911"/>
      <c r="O1" s="237" t="s">
        <v>528</v>
      </c>
    </row>
    <row r="2" spans="1:15" ht="21">
      <c r="A2" s="912" t="s">
        <v>745</v>
      </c>
      <c r="B2" s="912"/>
      <c r="C2" s="912"/>
      <c r="D2" s="912"/>
      <c r="E2" s="912"/>
      <c r="F2" s="912"/>
      <c r="G2" s="912"/>
      <c r="H2" s="912"/>
      <c r="I2" s="912"/>
      <c r="J2" s="912"/>
      <c r="K2" s="912"/>
      <c r="L2" s="912"/>
      <c r="M2" s="912"/>
      <c r="N2" s="912"/>
      <c r="O2" s="912"/>
    </row>
    <row r="3" spans="1:15" ht="15">
      <c r="A3" s="197"/>
      <c r="B3" s="197"/>
      <c r="C3" s="197"/>
      <c r="D3" s="197"/>
      <c r="E3" s="197"/>
      <c r="F3" s="197"/>
      <c r="G3" s="197"/>
      <c r="H3" s="197"/>
      <c r="I3" s="197"/>
      <c r="J3" s="197"/>
      <c r="K3" s="197"/>
    </row>
    <row r="4" spans="1:15" ht="18">
      <c r="A4" s="911" t="s">
        <v>527</v>
      </c>
      <c r="B4" s="911"/>
      <c r="C4" s="911"/>
      <c r="D4" s="911"/>
      <c r="E4" s="911"/>
      <c r="F4" s="911"/>
      <c r="G4" s="911"/>
      <c r="H4" s="911"/>
      <c r="I4" s="911"/>
      <c r="J4" s="911"/>
      <c r="K4" s="911"/>
      <c r="L4" s="911"/>
      <c r="M4" s="911"/>
      <c r="N4" s="911"/>
      <c r="O4" s="911"/>
    </row>
    <row r="5" spans="1:15" ht="15">
      <c r="A5" s="198" t="s">
        <v>253</v>
      </c>
      <c r="B5" s="198"/>
      <c r="C5" s="198"/>
      <c r="D5" s="198"/>
      <c r="E5" s="198"/>
      <c r="F5" s="198"/>
      <c r="G5" s="198"/>
      <c r="H5" s="198"/>
      <c r="I5" s="198"/>
      <c r="J5" s="198"/>
      <c r="K5" s="197"/>
      <c r="M5" s="1082" t="s">
        <v>831</v>
      </c>
      <c r="N5" s="1082"/>
      <c r="O5" s="1082"/>
    </row>
    <row r="6" spans="1:15" ht="44.25" customHeight="1">
      <c r="A6" s="988" t="s">
        <v>2</v>
      </c>
      <c r="B6" s="988" t="s">
        <v>3</v>
      </c>
      <c r="C6" s="988" t="s">
        <v>305</v>
      </c>
      <c r="D6" s="986" t="s">
        <v>306</v>
      </c>
      <c r="E6" s="986" t="s">
        <v>307</v>
      </c>
      <c r="F6" s="986" t="s">
        <v>308</v>
      </c>
      <c r="G6" s="986" t="s">
        <v>309</v>
      </c>
      <c r="H6" s="988" t="s">
        <v>310</v>
      </c>
      <c r="I6" s="988"/>
      <c r="J6" s="988" t="s">
        <v>311</v>
      </c>
      <c r="K6" s="988"/>
      <c r="L6" s="988" t="s">
        <v>312</v>
      </c>
      <c r="M6" s="988"/>
      <c r="N6" s="988" t="s">
        <v>313</v>
      </c>
      <c r="O6" s="988"/>
    </row>
    <row r="7" spans="1:15" ht="54" customHeight="1">
      <c r="A7" s="988"/>
      <c r="B7" s="988"/>
      <c r="C7" s="988"/>
      <c r="D7" s="987"/>
      <c r="E7" s="987"/>
      <c r="F7" s="987"/>
      <c r="G7" s="987"/>
      <c r="H7" s="230" t="s">
        <v>314</v>
      </c>
      <c r="I7" s="230" t="s">
        <v>315</v>
      </c>
      <c r="J7" s="230" t="s">
        <v>314</v>
      </c>
      <c r="K7" s="230" t="s">
        <v>315</v>
      </c>
      <c r="L7" s="230" t="s">
        <v>314</v>
      </c>
      <c r="M7" s="230" t="s">
        <v>315</v>
      </c>
      <c r="N7" s="230" t="s">
        <v>314</v>
      </c>
      <c r="O7" s="230" t="s">
        <v>315</v>
      </c>
    </row>
    <row r="8" spans="1:15" ht="15">
      <c r="A8" s="201" t="s">
        <v>260</v>
      </c>
      <c r="B8" s="201" t="s">
        <v>261</v>
      </c>
      <c r="C8" s="201" t="s">
        <v>262</v>
      </c>
      <c r="D8" s="201" t="s">
        <v>263</v>
      </c>
      <c r="E8" s="201" t="s">
        <v>264</v>
      </c>
      <c r="F8" s="201" t="s">
        <v>265</v>
      </c>
      <c r="G8" s="201" t="s">
        <v>266</v>
      </c>
      <c r="H8" s="201" t="s">
        <v>267</v>
      </c>
      <c r="I8" s="201" t="s">
        <v>286</v>
      </c>
      <c r="J8" s="201" t="s">
        <v>287</v>
      </c>
      <c r="K8" s="201" t="s">
        <v>288</v>
      </c>
      <c r="L8" s="201" t="s">
        <v>316</v>
      </c>
      <c r="M8" s="201" t="s">
        <v>317</v>
      </c>
      <c r="N8" s="201" t="s">
        <v>318</v>
      </c>
      <c r="O8" s="201" t="s">
        <v>319</v>
      </c>
    </row>
    <row r="9" spans="1:15" ht="31.5">
      <c r="A9" s="93">
        <v>1</v>
      </c>
      <c r="B9" s="707" t="s">
        <v>912</v>
      </c>
      <c r="C9" s="709">
        <v>1</v>
      </c>
      <c r="D9" s="709" t="s">
        <v>1093</v>
      </c>
      <c r="E9" s="709">
        <v>489</v>
      </c>
      <c r="F9" s="709">
        <v>79287</v>
      </c>
      <c r="G9" s="709">
        <v>20</v>
      </c>
      <c r="H9" s="709">
        <f>F9*0.0001*240</f>
        <v>1902.8879999999999</v>
      </c>
      <c r="I9" s="709">
        <v>1902.8879999999999</v>
      </c>
      <c r="J9" s="709">
        <f>F9*4.97*240/100000</f>
        <v>945.73533599999996</v>
      </c>
      <c r="K9" s="709">
        <v>945.73533599999996</v>
      </c>
      <c r="L9" s="709">
        <f>'AT-21'!G9*2600*10/100000</f>
        <v>355.42</v>
      </c>
      <c r="M9" s="709">
        <v>355.42</v>
      </c>
      <c r="N9" s="709">
        <f>H9*0.015</f>
        <v>28.543319999999998</v>
      </c>
      <c r="O9" s="709">
        <v>28.543319999999998</v>
      </c>
    </row>
    <row r="10" spans="1:15" ht="31.5">
      <c r="A10" s="1088">
        <v>2</v>
      </c>
      <c r="B10" s="1086" t="s">
        <v>913</v>
      </c>
      <c r="C10" s="709">
        <v>1</v>
      </c>
      <c r="D10" s="709" t="s">
        <v>1093</v>
      </c>
      <c r="E10" s="709">
        <v>681</v>
      </c>
      <c r="F10" s="709">
        <v>107629</v>
      </c>
      <c r="G10" s="709">
        <v>20</v>
      </c>
      <c r="H10" s="709">
        <f t="shared" ref="H10:H11" si="0">F10*0.0001*240</f>
        <v>2583.096</v>
      </c>
      <c r="I10" s="709">
        <v>2583.096</v>
      </c>
      <c r="J10" s="709">
        <f t="shared" ref="J10:J11" si="1">F10*4.97*240/100000</f>
        <v>1283.798712</v>
      </c>
      <c r="K10" s="709">
        <v>1283.798712</v>
      </c>
      <c r="L10" s="709">
        <f>'AT-21'!G10*2600*10/100000</f>
        <v>506.48</v>
      </c>
      <c r="M10" s="709">
        <v>506.48</v>
      </c>
      <c r="N10" s="709">
        <f t="shared" ref="N10:N11" si="2">H10*0.015</f>
        <v>38.74644</v>
      </c>
      <c r="O10" s="709">
        <v>38.74644</v>
      </c>
    </row>
    <row r="11" spans="1:15" s="698" customFormat="1" ht="34.5" customHeight="1">
      <c r="A11" s="1089"/>
      <c r="B11" s="1087"/>
      <c r="C11" s="709">
        <v>2</v>
      </c>
      <c r="D11" s="709" t="s">
        <v>1163</v>
      </c>
      <c r="E11" s="709">
        <v>197</v>
      </c>
      <c r="F11" s="709">
        <v>34182</v>
      </c>
      <c r="G11" s="709">
        <v>20</v>
      </c>
      <c r="H11" s="709">
        <f t="shared" si="0"/>
        <v>820.36800000000005</v>
      </c>
      <c r="I11" s="709">
        <v>820.36800000000005</v>
      </c>
      <c r="J11" s="709">
        <f t="shared" si="1"/>
        <v>407.72289599999993</v>
      </c>
      <c r="K11" s="709">
        <v>407.72289599999993</v>
      </c>
      <c r="L11" s="709">
        <f>'AT-21'!G11*2600*10/100000</f>
        <v>0</v>
      </c>
      <c r="M11" s="709">
        <v>0</v>
      </c>
      <c r="N11" s="709">
        <f t="shared" si="2"/>
        <v>12.30552</v>
      </c>
      <c r="O11" s="709">
        <v>12.30552</v>
      </c>
    </row>
    <row r="12" spans="1:15">
      <c r="A12" s="93">
        <v>3</v>
      </c>
      <c r="B12" s="707" t="s">
        <v>914</v>
      </c>
      <c r="C12" s="1083" t="s">
        <v>1136</v>
      </c>
      <c r="D12" s="1084"/>
      <c r="E12" s="1084"/>
      <c r="F12" s="1084"/>
      <c r="G12" s="1084"/>
      <c r="H12" s="1084"/>
      <c r="I12" s="1084"/>
      <c r="J12" s="1084"/>
      <c r="K12" s="1084"/>
      <c r="L12" s="1084"/>
      <c r="M12" s="1084"/>
      <c r="N12" s="1084"/>
      <c r="O12" s="1085"/>
    </row>
    <row r="13" spans="1:15">
      <c r="A13" s="93">
        <v>4</v>
      </c>
      <c r="B13" s="707" t="s">
        <v>915</v>
      </c>
      <c r="C13" s="1083" t="s">
        <v>1136</v>
      </c>
      <c r="D13" s="1084"/>
      <c r="E13" s="1084"/>
      <c r="F13" s="1084"/>
      <c r="G13" s="1084"/>
      <c r="H13" s="1084"/>
      <c r="I13" s="1084"/>
      <c r="J13" s="1084"/>
      <c r="K13" s="1084"/>
      <c r="L13" s="1084"/>
      <c r="M13" s="1084"/>
      <c r="N13" s="1084"/>
      <c r="O13" s="1085"/>
    </row>
    <row r="14" spans="1:15">
      <c r="A14" s="93">
        <v>5</v>
      </c>
      <c r="B14" s="707" t="s">
        <v>916</v>
      </c>
      <c r="C14" s="1083" t="s">
        <v>1136</v>
      </c>
      <c r="D14" s="1084"/>
      <c r="E14" s="1084"/>
      <c r="F14" s="1084"/>
      <c r="G14" s="1084"/>
      <c r="H14" s="1084"/>
      <c r="I14" s="1084"/>
      <c r="J14" s="1084"/>
      <c r="K14" s="1084"/>
      <c r="L14" s="1084"/>
      <c r="M14" s="1084"/>
      <c r="N14" s="1084"/>
      <c r="O14" s="1085"/>
    </row>
    <row r="15" spans="1:15">
      <c r="A15" s="93">
        <v>6</v>
      </c>
      <c r="B15" s="707" t="s">
        <v>917</v>
      </c>
      <c r="C15" s="1083" t="s">
        <v>1136</v>
      </c>
      <c r="D15" s="1084"/>
      <c r="E15" s="1084"/>
      <c r="F15" s="1084"/>
      <c r="G15" s="1084"/>
      <c r="H15" s="1084"/>
      <c r="I15" s="1084"/>
      <c r="J15" s="1084"/>
      <c r="K15" s="1084"/>
      <c r="L15" s="1084"/>
      <c r="M15" s="1084"/>
      <c r="N15" s="1084"/>
      <c r="O15" s="1085"/>
    </row>
    <row r="16" spans="1:15">
      <c r="A16" s="93">
        <v>7</v>
      </c>
      <c r="B16" s="707" t="s">
        <v>918</v>
      </c>
      <c r="C16" s="1083" t="s">
        <v>1136</v>
      </c>
      <c r="D16" s="1084"/>
      <c r="E16" s="1084"/>
      <c r="F16" s="1084"/>
      <c r="G16" s="1084"/>
      <c r="H16" s="1084"/>
      <c r="I16" s="1084"/>
      <c r="J16" s="1084"/>
      <c r="K16" s="1084"/>
      <c r="L16" s="1084"/>
      <c r="M16" s="1084"/>
      <c r="N16" s="1084"/>
      <c r="O16" s="1085"/>
    </row>
    <row r="17" spans="1:15">
      <c r="A17" s="93">
        <v>8</v>
      </c>
      <c r="B17" s="707" t="s">
        <v>919</v>
      </c>
      <c r="C17" s="1083" t="s">
        <v>1136</v>
      </c>
      <c r="D17" s="1084"/>
      <c r="E17" s="1084"/>
      <c r="F17" s="1084"/>
      <c r="G17" s="1084"/>
      <c r="H17" s="1084"/>
      <c r="I17" s="1084"/>
      <c r="J17" s="1084"/>
      <c r="K17" s="1084"/>
      <c r="L17" s="1084"/>
      <c r="M17" s="1084"/>
      <c r="N17" s="1084"/>
      <c r="O17" s="1085"/>
    </row>
    <row r="18" spans="1:15">
      <c r="A18" s="93">
        <v>9</v>
      </c>
      <c r="B18" s="707" t="s">
        <v>920</v>
      </c>
      <c r="C18" s="1083" t="s">
        <v>1136</v>
      </c>
      <c r="D18" s="1084"/>
      <c r="E18" s="1084"/>
      <c r="F18" s="1084"/>
      <c r="G18" s="1084"/>
      <c r="H18" s="1084"/>
      <c r="I18" s="1084"/>
      <c r="J18" s="1084"/>
      <c r="K18" s="1084"/>
      <c r="L18" s="1084"/>
      <c r="M18" s="1084"/>
      <c r="N18" s="1084"/>
      <c r="O18" s="1085"/>
    </row>
    <row r="19" spans="1:15">
      <c r="A19" s="93">
        <v>10</v>
      </c>
      <c r="B19" s="707" t="s">
        <v>921</v>
      </c>
      <c r="C19" s="1083" t="s">
        <v>1136</v>
      </c>
      <c r="D19" s="1084"/>
      <c r="E19" s="1084"/>
      <c r="F19" s="1084"/>
      <c r="G19" s="1084"/>
      <c r="H19" s="1084"/>
      <c r="I19" s="1084"/>
      <c r="J19" s="1084"/>
      <c r="K19" s="1084"/>
      <c r="L19" s="1084"/>
      <c r="M19" s="1084"/>
      <c r="N19" s="1084"/>
      <c r="O19" s="1085"/>
    </row>
    <row r="20" spans="1:15">
      <c r="A20" s="93">
        <v>11</v>
      </c>
      <c r="B20" s="707" t="s">
        <v>922</v>
      </c>
      <c r="C20" s="1083" t="s">
        <v>1136</v>
      </c>
      <c r="D20" s="1084"/>
      <c r="E20" s="1084"/>
      <c r="F20" s="1084"/>
      <c r="G20" s="1084"/>
      <c r="H20" s="1084"/>
      <c r="I20" s="1084"/>
      <c r="J20" s="1084"/>
      <c r="K20" s="1084"/>
      <c r="L20" s="1084"/>
      <c r="M20" s="1084"/>
      <c r="N20" s="1084"/>
      <c r="O20" s="1085"/>
    </row>
    <row r="21" spans="1:15">
      <c r="A21" s="93">
        <v>12</v>
      </c>
      <c r="B21" s="707" t="s">
        <v>923</v>
      </c>
      <c r="C21" s="1083" t="s">
        <v>1136</v>
      </c>
      <c r="D21" s="1084"/>
      <c r="E21" s="1084"/>
      <c r="F21" s="1084"/>
      <c r="G21" s="1084"/>
      <c r="H21" s="1084"/>
      <c r="I21" s="1084"/>
      <c r="J21" s="1084"/>
      <c r="K21" s="1084"/>
      <c r="L21" s="1084"/>
      <c r="M21" s="1084"/>
      <c r="N21" s="1084"/>
      <c r="O21" s="1085"/>
    </row>
    <row r="22" spans="1:15">
      <c r="A22" s="93">
        <v>13</v>
      </c>
      <c r="B22" s="707" t="s">
        <v>924</v>
      </c>
      <c r="C22" s="1083" t="s">
        <v>1136</v>
      </c>
      <c r="D22" s="1084"/>
      <c r="E22" s="1084"/>
      <c r="F22" s="1084"/>
      <c r="G22" s="1084"/>
      <c r="H22" s="1084"/>
      <c r="I22" s="1084"/>
      <c r="J22" s="1084"/>
      <c r="K22" s="1084"/>
      <c r="L22" s="1084"/>
      <c r="M22" s="1084"/>
      <c r="N22" s="1084"/>
      <c r="O22" s="1085"/>
    </row>
    <row r="23" spans="1:15">
      <c r="A23" s="93">
        <v>14</v>
      </c>
      <c r="B23" s="707" t="s">
        <v>925</v>
      </c>
      <c r="C23" s="1083" t="s">
        <v>1136</v>
      </c>
      <c r="D23" s="1084"/>
      <c r="E23" s="1084"/>
      <c r="F23" s="1084"/>
      <c r="G23" s="1084"/>
      <c r="H23" s="1084"/>
      <c r="I23" s="1084"/>
      <c r="J23" s="1084"/>
      <c r="K23" s="1084"/>
      <c r="L23" s="1084"/>
      <c r="M23" s="1084"/>
      <c r="N23" s="1084"/>
      <c r="O23" s="1085"/>
    </row>
    <row r="24" spans="1:15">
      <c r="A24" s="93">
        <v>15</v>
      </c>
      <c r="B24" s="707" t="s">
        <v>926</v>
      </c>
      <c r="C24" s="1083" t="s">
        <v>1136</v>
      </c>
      <c r="D24" s="1084"/>
      <c r="E24" s="1084"/>
      <c r="F24" s="1084"/>
      <c r="G24" s="1084"/>
      <c r="H24" s="1084"/>
      <c r="I24" s="1084"/>
      <c r="J24" s="1084"/>
      <c r="K24" s="1084"/>
      <c r="L24" s="1084"/>
      <c r="M24" s="1084"/>
      <c r="N24" s="1084"/>
      <c r="O24" s="1085"/>
    </row>
    <row r="25" spans="1:15">
      <c r="A25" s="93">
        <v>16</v>
      </c>
      <c r="B25" s="707" t="s">
        <v>927</v>
      </c>
      <c r="C25" s="1083" t="s">
        <v>1136</v>
      </c>
      <c r="D25" s="1084"/>
      <c r="E25" s="1084"/>
      <c r="F25" s="1084"/>
      <c r="G25" s="1084"/>
      <c r="H25" s="1084"/>
      <c r="I25" s="1084"/>
      <c r="J25" s="1084"/>
      <c r="K25" s="1084"/>
      <c r="L25" s="1084"/>
      <c r="M25" s="1084"/>
      <c r="N25" s="1084"/>
      <c r="O25" s="1085"/>
    </row>
    <row r="26" spans="1:15">
      <c r="A26" s="93">
        <v>17</v>
      </c>
      <c r="B26" s="707" t="s">
        <v>928</v>
      </c>
      <c r="C26" s="1083" t="s">
        <v>1136</v>
      </c>
      <c r="D26" s="1084"/>
      <c r="E26" s="1084"/>
      <c r="F26" s="1084"/>
      <c r="G26" s="1084"/>
      <c r="H26" s="1084"/>
      <c r="I26" s="1084"/>
      <c r="J26" s="1084"/>
      <c r="K26" s="1084"/>
      <c r="L26" s="1084"/>
      <c r="M26" s="1084"/>
      <c r="N26" s="1084"/>
      <c r="O26" s="1085"/>
    </row>
    <row r="27" spans="1:15">
      <c r="A27" s="93">
        <v>18</v>
      </c>
      <c r="B27" s="707" t="s">
        <v>929</v>
      </c>
      <c r="C27" s="1083" t="s">
        <v>1136</v>
      </c>
      <c r="D27" s="1084"/>
      <c r="E27" s="1084"/>
      <c r="F27" s="1084"/>
      <c r="G27" s="1084"/>
      <c r="H27" s="1084"/>
      <c r="I27" s="1084"/>
      <c r="J27" s="1084"/>
      <c r="K27" s="1084"/>
      <c r="L27" s="1084"/>
      <c r="M27" s="1084"/>
      <c r="N27" s="1084"/>
      <c r="O27" s="1085"/>
    </row>
    <row r="28" spans="1:15">
      <c r="A28" s="93">
        <v>19</v>
      </c>
      <c r="B28" s="707" t="s">
        <v>930</v>
      </c>
      <c r="C28" s="1083" t="s">
        <v>1136</v>
      </c>
      <c r="D28" s="1084"/>
      <c r="E28" s="1084"/>
      <c r="F28" s="1084"/>
      <c r="G28" s="1084"/>
      <c r="H28" s="1084"/>
      <c r="I28" s="1084"/>
      <c r="J28" s="1084"/>
      <c r="K28" s="1084"/>
      <c r="L28" s="1084"/>
      <c r="M28" s="1084"/>
      <c r="N28" s="1084"/>
      <c r="O28" s="1085"/>
    </row>
    <row r="29" spans="1:15" ht="31.5">
      <c r="A29" s="1090">
        <v>20</v>
      </c>
      <c r="B29" s="1086" t="s">
        <v>931</v>
      </c>
      <c r="C29" s="709">
        <v>1</v>
      </c>
      <c r="D29" s="709" t="s">
        <v>1119</v>
      </c>
      <c r="E29" s="1064">
        <v>1066</v>
      </c>
      <c r="F29" s="709">
        <v>120580</v>
      </c>
      <c r="G29" s="709">
        <v>32</v>
      </c>
      <c r="H29" s="709">
        <f>F29*0.0001*240</f>
        <v>2893.92</v>
      </c>
      <c r="I29" s="709">
        <v>2893.92</v>
      </c>
      <c r="J29" s="709">
        <f>F29*4.97*240/100000</f>
        <v>1438.2782400000001</v>
      </c>
      <c r="K29" s="709">
        <f>J29</f>
        <v>1438.2782400000001</v>
      </c>
      <c r="L29" s="709"/>
      <c r="M29" s="709"/>
      <c r="N29" s="709">
        <f t="shared" ref="N29:N30" si="3">H29*0.015</f>
        <v>43.408799999999999</v>
      </c>
      <c r="O29" s="709">
        <f>N29</f>
        <v>43.408799999999999</v>
      </c>
    </row>
    <row r="30" spans="1:15" s="698" customFormat="1" ht="47.25">
      <c r="A30" s="1091"/>
      <c r="B30" s="1087"/>
      <c r="C30" s="709">
        <v>2</v>
      </c>
      <c r="D30" s="709" t="s">
        <v>1120</v>
      </c>
      <c r="E30" s="1066"/>
      <c r="F30" s="709">
        <v>40136</v>
      </c>
      <c r="G30" s="709">
        <v>22</v>
      </c>
      <c r="H30" s="709">
        <f>F30*0.0001*240</f>
        <v>963.26400000000012</v>
      </c>
      <c r="I30" s="709">
        <v>963.26400000000012</v>
      </c>
      <c r="J30" s="709">
        <f>F30*4.97*240/100000</f>
        <v>478.74220799999995</v>
      </c>
      <c r="K30" s="709">
        <f>J30</f>
        <v>478.74220799999995</v>
      </c>
      <c r="L30" s="709"/>
      <c r="M30" s="709"/>
      <c r="N30" s="709">
        <f t="shared" si="3"/>
        <v>14.448960000000001</v>
      </c>
      <c r="O30" s="709">
        <f>N30</f>
        <v>14.448960000000001</v>
      </c>
    </row>
    <row r="31" spans="1:15">
      <c r="A31" s="93">
        <v>21</v>
      </c>
      <c r="B31" s="707" t="s">
        <v>932</v>
      </c>
      <c r="C31" s="1083" t="s">
        <v>1136</v>
      </c>
      <c r="D31" s="1084"/>
      <c r="E31" s="1084"/>
      <c r="F31" s="1084"/>
      <c r="G31" s="1084"/>
      <c r="H31" s="1084"/>
      <c r="I31" s="1084"/>
      <c r="J31" s="1084"/>
      <c r="K31" s="1084"/>
      <c r="L31" s="1084"/>
      <c r="M31" s="1084"/>
      <c r="N31" s="1084"/>
      <c r="O31" s="1085"/>
    </row>
    <row r="32" spans="1:15">
      <c r="A32" s="93">
        <v>22</v>
      </c>
      <c r="B32" s="707" t="s">
        <v>933</v>
      </c>
      <c r="C32" s="1083" t="s">
        <v>1136</v>
      </c>
      <c r="D32" s="1084"/>
      <c r="E32" s="1084"/>
      <c r="F32" s="1084"/>
      <c r="G32" s="1084"/>
      <c r="H32" s="1084"/>
      <c r="I32" s="1084"/>
      <c r="J32" s="1084"/>
      <c r="K32" s="1084"/>
      <c r="L32" s="1084"/>
      <c r="M32" s="1084"/>
      <c r="N32" s="1084"/>
      <c r="O32" s="1085"/>
    </row>
    <row r="33" spans="1:15">
      <c r="A33" s="93">
        <v>23</v>
      </c>
      <c r="B33" s="707" t="s">
        <v>934</v>
      </c>
      <c r="C33" s="1083" t="s">
        <v>1136</v>
      </c>
      <c r="D33" s="1084"/>
      <c r="E33" s="1084"/>
      <c r="F33" s="1084"/>
      <c r="G33" s="1084"/>
      <c r="H33" s="1084"/>
      <c r="I33" s="1084"/>
      <c r="J33" s="1084"/>
      <c r="K33" s="1084"/>
      <c r="L33" s="1084"/>
      <c r="M33" s="1084"/>
      <c r="N33" s="1084"/>
      <c r="O33" s="1085"/>
    </row>
    <row r="34" spans="1:15">
      <c r="A34" s="93">
        <v>24</v>
      </c>
      <c r="B34" s="707" t="s">
        <v>935</v>
      </c>
      <c r="C34" s="1083" t="s">
        <v>1136</v>
      </c>
      <c r="D34" s="1084"/>
      <c r="E34" s="1084"/>
      <c r="F34" s="1084"/>
      <c r="G34" s="1084"/>
      <c r="H34" s="1084"/>
      <c r="I34" s="1084"/>
      <c r="J34" s="1084"/>
      <c r="K34" s="1084"/>
      <c r="L34" s="1084"/>
      <c r="M34" s="1084"/>
      <c r="N34" s="1084"/>
      <c r="O34" s="1085"/>
    </row>
    <row r="35" spans="1:15" ht="31.5">
      <c r="A35" s="93">
        <v>25</v>
      </c>
      <c r="B35" s="707" t="s">
        <v>936</v>
      </c>
      <c r="C35" s="709">
        <v>1</v>
      </c>
      <c r="D35" s="709" t="s">
        <v>1084</v>
      </c>
      <c r="E35" s="709">
        <v>182</v>
      </c>
      <c r="F35" s="709">
        <v>28192</v>
      </c>
      <c r="G35" s="709">
        <v>20</v>
      </c>
      <c r="H35" s="709">
        <f>F35*0.0001*240</f>
        <v>676.60799999999995</v>
      </c>
      <c r="I35" s="709">
        <f>H35</f>
        <v>676.60799999999995</v>
      </c>
      <c r="J35" s="709">
        <f>F35*4.97*240/100000</f>
        <v>336.27417599999995</v>
      </c>
      <c r="K35" s="709">
        <f>J35</f>
        <v>336.27417599999995</v>
      </c>
      <c r="L35" s="709">
        <v>85.58</v>
      </c>
      <c r="M35" s="709">
        <v>85.58</v>
      </c>
      <c r="N35" s="709">
        <f t="shared" ref="N35:N36" si="4">H35*0.015</f>
        <v>10.149119999999998</v>
      </c>
      <c r="O35" s="709">
        <f>N35</f>
        <v>10.149119999999998</v>
      </c>
    </row>
    <row r="36" spans="1:15" ht="78.75">
      <c r="A36" s="93">
        <v>26</v>
      </c>
      <c r="B36" s="707" t="s">
        <v>937</v>
      </c>
      <c r="C36" s="709">
        <v>1</v>
      </c>
      <c r="D36" s="709" t="s">
        <v>1116</v>
      </c>
      <c r="E36" s="709">
        <v>202</v>
      </c>
      <c r="F36" s="709">
        <v>24885</v>
      </c>
      <c r="G36" s="709">
        <v>20</v>
      </c>
      <c r="H36" s="709">
        <f>F36*0.0001*240</f>
        <v>597.24</v>
      </c>
      <c r="I36" s="709">
        <f>H36</f>
        <v>597.24</v>
      </c>
      <c r="J36" s="709">
        <f>F36*4.97*240/100000</f>
        <v>296.82828000000001</v>
      </c>
      <c r="K36" s="709">
        <f>J36</f>
        <v>296.82828000000001</v>
      </c>
      <c r="L36" s="709">
        <v>89.91</v>
      </c>
      <c r="M36" s="709">
        <v>89.91</v>
      </c>
      <c r="N36" s="709">
        <f t="shared" si="4"/>
        <v>8.9586000000000006</v>
      </c>
      <c r="O36" s="709">
        <f>N36</f>
        <v>8.9586000000000006</v>
      </c>
    </row>
    <row r="37" spans="1:15">
      <c r="A37" s="93">
        <v>27</v>
      </c>
      <c r="B37" s="707" t="s">
        <v>938</v>
      </c>
      <c r="C37" s="1083" t="s">
        <v>1136</v>
      </c>
      <c r="D37" s="1084"/>
      <c r="E37" s="1084"/>
      <c r="F37" s="1084"/>
      <c r="G37" s="1084"/>
      <c r="H37" s="1084"/>
      <c r="I37" s="1084"/>
      <c r="J37" s="1084"/>
      <c r="K37" s="1084"/>
      <c r="L37" s="1084"/>
      <c r="M37" s="1084"/>
      <c r="N37" s="1084"/>
      <c r="O37" s="1085"/>
    </row>
    <row r="38" spans="1:15">
      <c r="A38" s="93">
        <v>28</v>
      </c>
      <c r="B38" s="707" t="s">
        <v>939</v>
      </c>
      <c r="C38" s="1083" t="s">
        <v>1136</v>
      </c>
      <c r="D38" s="1084"/>
      <c r="E38" s="1084"/>
      <c r="F38" s="1084"/>
      <c r="G38" s="1084"/>
      <c r="H38" s="1084"/>
      <c r="I38" s="1084"/>
      <c r="J38" s="1084"/>
      <c r="K38" s="1084"/>
      <c r="L38" s="1084"/>
      <c r="M38" s="1084"/>
      <c r="N38" s="1084"/>
      <c r="O38" s="1085"/>
    </row>
    <row r="39" spans="1:15">
      <c r="A39" s="93">
        <v>29</v>
      </c>
      <c r="B39" s="707" t="s">
        <v>940</v>
      </c>
      <c r="C39" s="1083" t="s">
        <v>1136</v>
      </c>
      <c r="D39" s="1084"/>
      <c r="E39" s="1084"/>
      <c r="F39" s="1084"/>
      <c r="G39" s="1084"/>
      <c r="H39" s="1084"/>
      <c r="I39" s="1084"/>
      <c r="J39" s="1084"/>
      <c r="K39" s="1084"/>
      <c r="L39" s="1084"/>
      <c r="M39" s="1084"/>
      <c r="N39" s="1084"/>
      <c r="O39" s="1085"/>
    </row>
    <row r="40" spans="1:15" ht="47.25">
      <c r="A40" s="93">
        <v>30</v>
      </c>
      <c r="B40" s="707" t="s">
        <v>941</v>
      </c>
      <c r="C40" s="709">
        <v>1</v>
      </c>
      <c r="D40" s="709" t="s">
        <v>1091</v>
      </c>
      <c r="E40" s="709">
        <v>551</v>
      </c>
      <c r="F40" s="709">
        <v>115272</v>
      </c>
      <c r="G40" s="709">
        <v>50</v>
      </c>
      <c r="H40" s="709">
        <f>F40*0.0001*240</f>
        <v>2766.5280000000002</v>
      </c>
      <c r="I40" s="709">
        <f>H40</f>
        <v>2766.5280000000002</v>
      </c>
      <c r="J40" s="709">
        <f>F40*4.97*240/100000</f>
        <v>1374.964416</v>
      </c>
      <c r="K40" s="709">
        <f>J40</f>
        <v>1374.964416</v>
      </c>
      <c r="L40" s="709">
        <v>0</v>
      </c>
      <c r="M40" s="709">
        <v>0</v>
      </c>
      <c r="N40" s="709">
        <f t="shared" ref="N40" si="5">H40*0.015</f>
        <v>41.497920000000001</v>
      </c>
      <c r="O40" s="709">
        <f>N40</f>
        <v>41.497920000000001</v>
      </c>
    </row>
    <row r="41" spans="1:15">
      <c r="A41" s="93">
        <v>31</v>
      </c>
      <c r="B41" s="707" t="s">
        <v>942</v>
      </c>
      <c r="C41" s="1083" t="s">
        <v>1136</v>
      </c>
      <c r="D41" s="1084"/>
      <c r="E41" s="1084"/>
      <c r="F41" s="1084"/>
      <c r="G41" s="1084"/>
      <c r="H41" s="1084"/>
      <c r="I41" s="1084"/>
      <c r="J41" s="1084"/>
      <c r="K41" s="1084"/>
      <c r="L41" s="1084"/>
      <c r="M41" s="1084"/>
      <c r="N41" s="1084"/>
      <c r="O41" s="1085"/>
    </row>
    <row r="42" spans="1:15">
      <c r="A42" s="93">
        <v>32</v>
      </c>
      <c r="B42" s="707" t="s">
        <v>943</v>
      </c>
      <c r="C42" s="1083" t="s">
        <v>1136</v>
      </c>
      <c r="D42" s="1084"/>
      <c r="E42" s="1084"/>
      <c r="F42" s="1084"/>
      <c r="G42" s="1084"/>
      <c r="H42" s="1084"/>
      <c r="I42" s="1084"/>
      <c r="J42" s="1084"/>
      <c r="K42" s="1084"/>
      <c r="L42" s="1084"/>
      <c r="M42" s="1084"/>
      <c r="N42" s="1084"/>
      <c r="O42" s="1085"/>
    </row>
    <row r="43" spans="1:15">
      <c r="A43" s="93">
        <v>33</v>
      </c>
      <c r="B43" s="707" t="s">
        <v>944</v>
      </c>
      <c r="C43" s="1083" t="s">
        <v>1136</v>
      </c>
      <c r="D43" s="1084"/>
      <c r="E43" s="1084"/>
      <c r="F43" s="1084"/>
      <c r="G43" s="1084"/>
      <c r="H43" s="1084"/>
      <c r="I43" s="1084"/>
      <c r="J43" s="1084"/>
      <c r="K43" s="1084"/>
      <c r="L43" s="1084"/>
      <c r="M43" s="1084"/>
      <c r="N43" s="1084"/>
      <c r="O43" s="1085"/>
    </row>
    <row r="44" spans="1:15">
      <c r="A44" s="93">
        <v>34</v>
      </c>
      <c r="B44" s="707" t="s">
        <v>945</v>
      </c>
      <c r="C44" s="1083" t="s">
        <v>1136</v>
      </c>
      <c r="D44" s="1084"/>
      <c r="E44" s="1084"/>
      <c r="F44" s="1084"/>
      <c r="G44" s="1084"/>
      <c r="H44" s="1084"/>
      <c r="I44" s="1084"/>
      <c r="J44" s="1084"/>
      <c r="K44" s="1084"/>
      <c r="L44" s="1084"/>
      <c r="M44" s="1084"/>
      <c r="N44" s="1084"/>
      <c r="O44" s="1085"/>
    </row>
    <row r="45" spans="1:15" ht="15.75">
      <c r="A45" s="90" t="s">
        <v>17</v>
      </c>
      <c r="B45" s="704" t="s">
        <v>998</v>
      </c>
      <c r="C45" s="708">
        <v>0</v>
      </c>
      <c r="D45" s="708">
        <v>0</v>
      </c>
      <c r="E45" s="708">
        <f>E40+E36+E35+E29+E11+E10+E9</f>
        <v>3368</v>
      </c>
      <c r="F45" s="708">
        <f t="shared" ref="F45:O45" si="6">F40+F36+F35+F29+F11+F10+F9</f>
        <v>510027</v>
      </c>
      <c r="G45" s="708">
        <f t="shared" si="6"/>
        <v>182</v>
      </c>
      <c r="H45" s="708">
        <f t="shared" si="6"/>
        <v>12240.648000000001</v>
      </c>
      <c r="I45" s="708">
        <f t="shared" si="6"/>
        <v>12240.648000000001</v>
      </c>
      <c r="J45" s="708">
        <f t="shared" si="6"/>
        <v>6083.6020559999997</v>
      </c>
      <c r="K45" s="708">
        <f t="shared" si="6"/>
        <v>6083.6020559999997</v>
      </c>
      <c r="L45" s="708">
        <f t="shared" si="6"/>
        <v>1037.3900000000001</v>
      </c>
      <c r="M45" s="708">
        <f t="shared" si="6"/>
        <v>1037.3900000000001</v>
      </c>
      <c r="N45" s="708">
        <f t="shared" si="6"/>
        <v>183.60971999999998</v>
      </c>
      <c r="O45" s="708">
        <f t="shared" si="6"/>
        <v>183.60971999999998</v>
      </c>
    </row>
    <row r="46" spans="1:15" s="698" customFormat="1" ht="15.75">
      <c r="A46" s="96"/>
      <c r="B46" s="779"/>
      <c r="C46" s="780"/>
      <c r="D46" s="780"/>
      <c r="E46" s="780"/>
      <c r="F46" s="780"/>
      <c r="G46" s="780"/>
      <c r="H46" s="780"/>
      <c r="I46" s="780"/>
      <c r="J46" s="780"/>
      <c r="K46" s="780"/>
      <c r="L46" s="780"/>
      <c r="M46" s="780"/>
      <c r="N46" s="780"/>
      <c r="O46" s="780"/>
    </row>
    <row r="47" spans="1:15" s="698" customFormat="1" ht="15.75">
      <c r="A47" s="96"/>
      <c r="B47" s="779"/>
      <c r="C47" s="780"/>
      <c r="D47" s="780"/>
      <c r="E47" s="780"/>
      <c r="F47" s="780"/>
      <c r="G47" s="780"/>
      <c r="H47" s="780"/>
      <c r="I47" s="780"/>
      <c r="J47" s="780"/>
      <c r="K47" s="780"/>
      <c r="L47" s="780"/>
      <c r="M47" s="780"/>
      <c r="N47" s="780"/>
      <c r="O47" s="780"/>
    </row>
    <row r="49" spans="1:15" ht="12.75" customHeight="1">
      <c r="A49" s="204"/>
      <c r="B49" s="901" t="s">
        <v>906</v>
      </c>
      <c r="C49" s="901"/>
      <c r="D49" s="901"/>
      <c r="L49" s="901" t="s">
        <v>12</v>
      </c>
      <c r="M49" s="901"/>
      <c r="N49" s="901"/>
      <c r="O49" s="901"/>
    </row>
    <row r="50" spans="1:15" ht="12.75" customHeight="1">
      <c r="A50" s="204"/>
      <c r="B50" s="901" t="s">
        <v>907</v>
      </c>
      <c r="C50" s="901"/>
      <c r="D50" s="901"/>
      <c r="L50" s="901" t="s">
        <v>13</v>
      </c>
      <c r="M50" s="901"/>
      <c r="N50" s="901"/>
      <c r="O50" s="901"/>
    </row>
    <row r="51" spans="1:15">
      <c r="A51" s="204"/>
      <c r="B51" s="901" t="s">
        <v>908</v>
      </c>
      <c r="C51" s="901"/>
      <c r="D51" s="901"/>
      <c r="L51" s="901" t="s">
        <v>87</v>
      </c>
      <c r="M51" s="901"/>
      <c r="N51" s="901"/>
      <c r="O51" s="901"/>
    </row>
    <row r="52" spans="1:15">
      <c r="A52" s="204" t="s">
        <v>11</v>
      </c>
      <c r="C52" s="204"/>
      <c r="D52" s="204"/>
      <c r="L52" s="897" t="s">
        <v>84</v>
      </c>
      <c r="M52" s="897"/>
      <c r="N52" s="897"/>
      <c r="O52" s="209"/>
    </row>
  </sheetData>
  <mergeCells count="55">
    <mergeCell ref="C43:O43"/>
    <mergeCell ref="C44:O44"/>
    <mergeCell ref="C12:O12"/>
    <mergeCell ref="C13:O13"/>
    <mergeCell ref="C14:O14"/>
    <mergeCell ref="C15:O15"/>
    <mergeCell ref="C16:O16"/>
    <mergeCell ref="C17:O17"/>
    <mergeCell ref="C18:O18"/>
    <mergeCell ref="C19:O19"/>
    <mergeCell ref="C20:O20"/>
    <mergeCell ref="C21:O21"/>
    <mergeCell ref="C22:O22"/>
    <mergeCell ref="C23:O23"/>
    <mergeCell ref="C26:O26"/>
    <mergeCell ref="B10:B11"/>
    <mergeCell ref="A10:A11"/>
    <mergeCell ref="C41:O41"/>
    <mergeCell ref="C42:O42"/>
    <mergeCell ref="B29:B30"/>
    <mergeCell ref="A29:A30"/>
    <mergeCell ref="E29:E30"/>
    <mergeCell ref="C27:O27"/>
    <mergeCell ref="C28:O28"/>
    <mergeCell ref="A1:N1"/>
    <mergeCell ref="A2:O2"/>
    <mergeCell ref="M5:O5"/>
    <mergeCell ref="A6:A7"/>
    <mergeCell ref="B6:B7"/>
    <mergeCell ref="C6:C7"/>
    <mergeCell ref="D6:D7"/>
    <mergeCell ref="E6:E7"/>
    <mergeCell ref="A4:O4"/>
    <mergeCell ref="F6:F7"/>
    <mergeCell ref="L52:N52"/>
    <mergeCell ref="G6:G7"/>
    <mergeCell ref="H6:I6"/>
    <mergeCell ref="J6:K6"/>
    <mergeCell ref="L6:M6"/>
    <mergeCell ref="N6:O6"/>
    <mergeCell ref="L49:O49"/>
    <mergeCell ref="C31:O31"/>
    <mergeCell ref="C32:O32"/>
    <mergeCell ref="C33:O33"/>
    <mergeCell ref="C34:O34"/>
    <mergeCell ref="C37:O37"/>
    <mergeCell ref="C38:O38"/>
    <mergeCell ref="C39:O39"/>
    <mergeCell ref="C24:O24"/>
    <mergeCell ref="C25:O25"/>
    <mergeCell ref="B51:D51"/>
    <mergeCell ref="B49:D49"/>
    <mergeCell ref="B50:D50"/>
    <mergeCell ref="L50:O50"/>
    <mergeCell ref="L51:O51"/>
  </mergeCells>
  <printOptions horizontalCentered="1"/>
  <pageMargins left="0.70866141732283472" right="0.70866141732283472" top="0.23622047244094491" bottom="0" header="0.31496062992125984" footer="0.31496062992125984"/>
  <pageSetup paperSize="9" scale="58" orientation="landscape" r:id="rId1"/>
</worksheet>
</file>

<file path=xl/worksheets/sheet51.xml><?xml version="1.0" encoding="utf-8"?>
<worksheet xmlns="http://schemas.openxmlformats.org/spreadsheetml/2006/main" xmlns:r="http://schemas.openxmlformats.org/officeDocument/2006/relationships">
  <sheetPr codeName="Sheet51">
    <pageSetUpPr fitToPage="1"/>
  </sheetPr>
  <dimension ref="A1:M52"/>
  <sheetViews>
    <sheetView topLeftCell="A22" zoomScaleSheetLayoutView="90" workbookViewId="0">
      <selection activeCell="C33" sqref="C33:K33"/>
    </sheetView>
  </sheetViews>
  <sheetFormatPr defaultRowHeight="12.75"/>
  <cols>
    <col min="1" max="1" width="8.5703125" style="204" customWidth="1"/>
    <col min="2" max="2" width="21.5703125" style="204" bestFit="1" customWidth="1"/>
    <col min="3" max="3" width="12" style="204" customWidth="1"/>
    <col min="4" max="4" width="15.140625" style="204" customWidth="1"/>
    <col min="5" max="5" width="8.7109375" style="204" customWidth="1"/>
    <col min="6" max="6" width="7.28515625" style="204" customWidth="1"/>
    <col min="7" max="7" width="7.42578125" style="204" customWidth="1"/>
    <col min="8" max="8" width="6.28515625" style="204" customWidth="1"/>
    <col min="9" max="9" width="6.5703125" style="204" customWidth="1"/>
    <col min="10" max="10" width="6.7109375" style="204" customWidth="1"/>
    <col min="11" max="11" width="7.140625" style="204" customWidth="1"/>
    <col min="12" max="12" width="8.140625" style="204" customWidth="1"/>
    <col min="13" max="13" width="9.28515625" style="204" customWidth="1"/>
    <col min="14" max="16384" width="9.140625" style="204"/>
  </cols>
  <sheetData>
    <row r="1" spans="1:13">
      <c r="H1" s="897"/>
      <c r="I1" s="897"/>
      <c r="L1" s="207" t="s">
        <v>529</v>
      </c>
    </row>
    <row r="2" spans="1:13">
      <c r="D2" s="897" t="s">
        <v>481</v>
      </c>
      <c r="E2" s="897"/>
      <c r="F2" s="897"/>
      <c r="G2" s="897"/>
      <c r="H2" s="206"/>
      <c r="I2" s="206"/>
      <c r="L2" s="207"/>
    </row>
    <row r="3" spans="1:13" s="208" customFormat="1" ht="15.75">
      <c r="A3" s="1092" t="s">
        <v>749</v>
      </c>
      <c r="B3" s="1092"/>
      <c r="C3" s="1092"/>
      <c r="D3" s="1092"/>
      <c r="E3" s="1092"/>
      <c r="F3" s="1092"/>
      <c r="G3" s="1092"/>
      <c r="H3" s="1092"/>
      <c r="I3" s="1092"/>
      <c r="J3" s="1092"/>
      <c r="K3" s="1092"/>
      <c r="L3" s="1092"/>
      <c r="M3" s="1092"/>
    </row>
    <row r="4" spans="1:13" s="208" customFormat="1" ht="20.25" customHeight="1">
      <c r="A4" s="1092" t="s">
        <v>864</v>
      </c>
      <c r="B4" s="1092"/>
      <c r="C4" s="1092"/>
      <c r="D4" s="1092"/>
      <c r="E4" s="1092"/>
      <c r="F4" s="1092"/>
      <c r="G4" s="1092"/>
      <c r="H4" s="1092"/>
      <c r="I4" s="1092"/>
      <c r="J4" s="1092"/>
      <c r="K4" s="1092"/>
      <c r="L4" s="1092"/>
      <c r="M4" s="1092"/>
    </row>
    <row r="6" spans="1:13">
      <c r="A6" s="209" t="s">
        <v>162</v>
      </c>
      <c r="B6" s="210"/>
      <c r="C6" s="211"/>
      <c r="D6" s="211"/>
      <c r="E6" s="211"/>
      <c r="F6" s="211"/>
      <c r="G6" s="211"/>
      <c r="H6" s="211"/>
      <c r="I6" s="211"/>
      <c r="J6" s="211"/>
    </row>
    <row r="8" spans="1:13" s="212" customFormat="1" ht="15" customHeight="1">
      <c r="A8" s="204"/>
      <c r="B8" s="204"/>
      <c r="C8" s="204"/>
      <c r="D8" s="204"/>
      <c r="E8" s="204"/>
      <c r="F8" s="204"/>
      <c r="G8" s="204"/>
      <c r="H8" s="204"/>
      <c r="I8" s="204"/>
      <c r="J8" s="112" t="s">
        <v>831</v>
      </c>
      <c r="L8" s="112"/>
      <c r="M8" s="112"/>
    </row>
    <row r="9" spans="1:13" s="212" customFormat="1" ht="20.25" customHeight="1">
      <c r="A9" s="986" t="s">
        <v>2</v>
      </c>
      <c r="B9" s="986" t="s">
        <v>3</v>
      </c>
      <c r="C9" s="992" t="s">
        <v>269</v>
      </c>
      <c r="D9" s="992" t="s">
        <v>270</v>
      </c>
      <c r="E9" s="1094" t="s">
        <v>271</v>
      </c>
      <c r="F9" s="1094"/>
      <c r="G9" s="1094"/>
      <c r="H9" s="1094"/>
      <c r="I9" s="1094"/>
      <c r="J9" s="1094"/>
      <c r="K9" s="1094"/>
      <c r="L9" s="1094"/>
      <c r="M9" s="1094"/>
    </row>
    <row r="10" spans="1:13" s="212" customFormat="1" ht="35.25" customHeight="1">
      <c r="A10" s="1093"/>
      <c r="B10" s="1093"/>
      <c r="C10" s="993"/>
      <c r="D10" s="993"/>
      <c r="E10" s="296" t="s">
        <v>827</v>
      </c>
      <c r="F10" s="296" t="s">
        <v>272</v>
      </c>
      <c r="G10" s="296" t="s">
        <v>273</v>
      </c>
      <c r="H10" s="296" t="s">
        <v>274</v>
      </c>
      <c r="I10" s="296" t="s">
        <v>275</v>
      </c>
      <c r="J10" s="296" t="s">
        <v>276</v>
      </c>
      <c r="K10" s="296" t="s">
        <v>277</v>
      </c>
      <c r="L10" s="296" t="s">
        <v>278</v>
      </c>
      <c r="M10" s="296" t="s">
        <v>828</v>
      </c>
    </row>
    <row r="11" spans="1:13" s="212" customFormat="1" ht="12.75" customHeight="1">
      <c r="A11" s="215">
        <v>1</v>
      </c>
      <c r="B11" s="215">
        <v>2</v>
      </c>
      <c r="C11" s="215">
        <v>3</v>
      </c>
      <c r="D11" s="215">
        <v>4</v>
      </c>
      <c r="E11" s="215">
        <v>5</v>
      </c>
      <c r="F11" s="215">
        <v>6</v>
      </c>
      <c r="G11" s="215">
        <v>7</v>
      </c>
      <c r="H11" s="215">
        <v>8</v>
      </c>
      <c r="I11" s="215">
        <v>9</v>
      </c>
      <c r="J11" s="215">
        <v>10</v>
      </c>
      <c r="K11" s="215">
        <v>11</v>
      </c>
      <c r="L11" s="215">
        <v>12</v>
      </c>
      <c r="M11" s="215">
        <v>13</v>
      </c>
    </row>
    <row r="12" spans="1:13" s="212" customFormat="1" ht="12.75" customHeight="1">
      <c r="A12" s="93">
        <v>1</v>
      </c>
      <c r="B12" s="536" t="s">
        <v>961</v>
      </c>
      <c r="C12" s="689">
        <v>1198</v>
      </c>
      <c r="D12" s="689">
        <v>1195</v>
      </c>
      <c r="E12" s="689">
        <v>1191</v>
      </c>
      <c r="F12" s="689">
        <v>1191</v>
      </c>
      <c r="G12" s="689">
        <v>1191</v>
      </c>
      <c r="H12" s="689">
        <v>1189</v>
      </c>
      <c r="I12" s="689">
        <v>1189</v>
      </c>
      <c r="J12" s="689">
        <v>1181</v>
      </c>
      <c r="K12" s="689">
        <v>1155</v>
      </c>
      <c r="L12" s="689">
        <v>902</v>
      </c>
      <c r="M12" s="689">
        <v>861</v>
      </c>
    </row>
    <row r="13" spans="1:13" s="212" customFormat="1" ht="12.75" customHeight="1">
      <c r="A13" s="93">
        <v>2</v>
      </c>
      <c r="B13" s="536" t="s">
        <v>962</v>
      </c>
      <c r="C13" s="689">
        <v>1730</v>
      </c>
      <c r="D13" s="689">
        <v>1730</v>
      </c>
      <c r="E13" s="689">
        <v>1730</v>
      </c>
      <c r="F13" s="689">
        <v>1730</v>
      </c>
      <c r="G13" s="689">
        <v>1730</v>
      </c>
      <c r="H13" s="689">
        <v>1730</v>
      </c>
      <c r="I13" s="689">
        <v>1730</v>
      </c>
      <c r="J13" s="689">
        <v>1730</v>
      </c>
      <c r="K13" s="689">
        <v>1730</v>
      </c>
      <c r="L13" s="689">
        <v>1730</v>
      </c>
      <c r="M13" s="689">
        <v>1730</v>
      </c>
    </row>
    <row r="14" spans="1:13" s="212" customFormat="1" ht="12.75" customHeight="1">
      <c r="A14" s="93">
        <v>3</v>
      </c>
      <c r="B14" s="536" t="s">
        <v>963</v>
      </c>
      <c r="C14" s="689">
        <v>1999</v>
      </c>
      <c r="D14" s="689">
        <v>1981</v>
      </c>
      <c r="E14" s="689">
        <v>1981</v>
      </c>
      <c r="F14" s="689">
        <v>1981</v>
      </c>
      <c r="G14" s="689">
        <v>1980</v>
      </c>
      <c r="H14" s="689">
        <v>1980</v>
      </c>
      <c r="I14" s="689">
        <v>1980</v>
      </c>
      <c r="J14" s="689">
        <v>1980</v>
      </c>
      <c r="K14" s="689">
        <v>1898</v>
      </c>
      <c r="L14" s="689">
        <v>1734</v>
      </c>
      <c r="M14" s="689">
        <v>1732</v>
      </c>
    </row>
    <row r="15" spans="1:13" s="212" customFormat="1" ht="12.75" customHeight="1">
      <c r="A15" s="93">
        <v>4</v>
      </c>
      <c r="B15" s="536" t="s">
        <v>964</v>
      </c>
      <c r="C15" s="689">
        <v>1839</v>
      </c>
      <c r="D15" s="689">
        <v>1839</v>
      </c>
      <c r="E15" s="689">
        <v>1839</v>
      </c>
      <c r="F15" s="689">
        <v>1839</v>
      </c>
      <c r="G15" s="689">
        <v>1659</v>
      </c>
      <c r="H15" s="689">
        <v>1608</v>
      </c>
      <c r="I15" s="689">
        <v>1607</v>
      </c>
      <c r="J15" s="689">
        <v>1594</v>
      </c>
      <c r="K15" s="689">
        <v>1290</v>
      </c>
      <c r="L15" s="689">
        <v>1290</v>
      </c>
      <c r="M15" s="689">
        <v>1290</v>
      </c>
    </row>
    <row r="16" spans="1:13" s="212" customFormat="1" ht="12.75" customHeight="1">
      <c r="A16" s="93">
        <v>5</v>
      </c>
      <c r="B16" s="536" t="s">
        <v>1009</v>
      </c>
      <c r="C16" s="689">
        <v>1469</v>
      </c>
      <c r="D16" s="689">
        <v>1437</v>
      </c>
      <c r="E16" s="689">
        <v>1430</v>
      </c>
      <c r="F16" s="689">
        <v>1430</v>
      </c>
      <c r="G16" s="689">
        <v>1430</v>
      </c>
      <c r="H16" s="689">
        <v>1430</v>
      </c>
      <c r="I16" s="689">
        <v>1430</v>
      </c>
      <c r="J16" s="689">
        <v>1430</v>
      </c>
      <c r="K16" s="689">
        <v>1430</v>
      </c>
      <c r="L16" s="689">
        <v>1430</v>
      </c>
      <c r="M16" s="689">
        <v>1424</v>
      </c>
    </row>
    <row r="17" spans="1:13" s="212" customFormat="1" ht="12.75" customHeight="1">
      <c r="A17" s="93">
        <v>6</v>
      </c>
      <c r="B17" s="536" t="s">
        <v>965</v>
      </c>
      <c r="C17" s="689">
        <v>1765</v>
      </c>
      <c r="D17" s="689">
        <v>1758</v>
      </c>
      <c r="E17" s="689">
        <v>1639</v>
      </c>
      <c r="F17" s="689">
        <v>1594</v>
      </c>
      <c r="G17" s="689">
        <v>1519</v>
      </c>
      <c r="H17" s="689">
        <v>1396</v>
      </c>
      <c r="I17" s="689">
        <v>1394</v>
      </c>
      <c r="J17" s="689">
        <v>1394</v>
      </c>
      <c r="K17" s="689">
        <v>1390</v>
      </c>
      <c r="L17" s="689">
        <v>1387</v>
      </c>
      <c r="M17" s="689">
        <v>1214</v>
      </c>
    </row>
    <row r="18" spans="1:13" s="212" customFormat="1" ht="12.75" customHeight="1">
      <c r="A18" s="93">
        <v>7</v>
      </c>
      <c r="B18" s="536" t="s">
        <v>966</v>
      </c>
      <c r="C18" s="689">
        <v>1717</v>
      </c>
      <c r="D18" s="689">
        <v>1715</v>
      </c>
      <c r="E18" s="689">
        <v>1714</v>
      </c>
      <c r="F18" s="689">
        <v>1714</v>
      </c>
      <c r="G18" s="689">
        <v>1714</v>
      </c>
      <c r="H18" s="689">
        <v>1714</v>
      </c>
      <c r="I18" s="689">
        <v>1714</v>
      </c>
      <c r="J18" s="689">
        <v>1714</v>
      </c>
      <c r="K18" s="689">
        <v>1714</v>
      </c>
      <c r="L18" s="689">
        <v>1714</v>
      </c>
      <c r="M18" s="689">
        <v>1714</v>
      </c>
    </row>
    <row r="19" spans="1:13" s="212" customFormat="1" ht="12.75" customHeight="1">
      <c r="A19" s="93">
        <v>8</v>
      </c>
      <c r="B19" s="536" t="s">
        <v>967</v>
      </c>
      <c r="C19" s="689">
        <v>2006</v>
      </c>
      <c r="D19" s="689">
        <v>2003</v>
      </c>
      <c r="E19" s="689">
        <v>2003</v>
      </c>
      <c r="F19" s="689">
        <v>2003</v>
      </c>
      <c r="G19" s="689">
        <v>1998</v>
      </c>
      <c r="H19" s="689">
        <v>1580</v>
      </c>
      <c r="I19" s="689">
        <v>1450</v>
      </c>
      <c r="J19" s="689">
        <v>1220</v>
      </c>
      <c r="K19" s="689">
        <v>1113</v>
      </c>
      <c r="L19" s="689">
        <v>933</v>
      </c>
      <c r="M19" s="689">
        <v>732</v>
      </c>
    </row>
    <row r="20" spans="1:13" s="212" customFormat="1" ht="12.75" customHeight="1">
      <c r="A20" s="93">
        <v>9</v>
      </c>
      <c r="B20" s="536" t="s">
        <v>968</v>
      </c>
      <c r="C20" s="689">
        <v>1573</v>
      </c>
      <c r="D20" s="689">
        <v>1570</v>
      </c>
      <c r="E20" s="689">
        <v>1570</v>
      </c>
      <c r="F20" s="689">
        <v>1570</v>
      </c>
      <c r="G20" s="689">
        <v>1570</v>
      </c>
      <c r="H20" s="689">
        <v>1570</v>
      </c>
      <c r="I20" s="689">
        <v>1570</v>
      </c>
      <c r="J20" s="689">
        <v>1570</v>
      </c>
      <c r="K20" s="689">
        <v>1570</v>
      </c>
      <c r="L20" s="689">
        <v>1570</v>
      </c>
      <c r="M20" s="689">
        <v>1570</v>
      </c>
    </row>
    <row r="21" spans="1:13" s="212" customFormat="1" ht="12.75" customHeight="1">
      <c r="A21" s="93">
        <v>10</v>
      </c>
      <c r="B21" s="536" t="s">
        <v>970</v>
      </c>
      <c r="C21" s="689">
        <v>2413</v>
      </c>
      <c r="D21" s="689">
        <v>2372</v>
      </c>
      <c r="E21" s="689">
        <v>2367</v>
      </c>
      <c r="F21" s="689">
        <v>2367</v>
      </c>
      <c r="G21" s="689">
        <v>2360</v>
      </c>
      <c r="H21" s="689">
        <v>2358</v>
      </c>
      <c r="I21" s="689">
        <v>2358</v>
      </c>
      <c r="J21" s="689">
        <v>2358</v>
      </c>
      <c r="K21" s="689">
        <v>2358</v>
      </c>
      <c r="L21" s="689">
        <v>2341</v>
      </c>
      <c r="M21" s="689">
        <v>2338</v>
      </c>
    </row>
    <row r="22" spans="1:13" s="212" customFormat="1" ht="12.75" customHeight="1">
      <c r="A22" s="93">
        <v>11</v>
      </c>
      <c r="B22" s="536" t="s">
        <v>969</v>
      </c>
      <c r="C22" s="689">
        <v>2228</v>
      </c>
      <c r="D22" s="689">
        <v>2228</v>
      </c>
      <c r="E22" s="689">
        <v>2228</v>
      </c>
      <c r="F22" s="689">
        <v>2228</v>
      </c>
      <c r="G22" s="689">
        <v>2228</v>
      </c>
      <c r="H22" s="689">
        <v>2228</v>
      </c>
      <c r="I22" s="689">
        <v>2228</v>
      </c>
      <c r="J22" s="689">
        <v>2228</v>
      </c>
      <c r="K22" s="689">
        <v>2228</v>
      </c>
      <c r="L22" s="689">
        <v>2228</v>
      </c>
      <c r="M22" s="689">
        <v>2228</v>
      </c>
    </row>
    <row r="23" spans="1:13" s="212" customFormat="1" ht="12.75" customHeight="1">
      <c r="A23" s="93">
        <v>12</v>
      </c>
      <c r="B23" s="536" t="s">
        <v>1008</v>
      </c>
      <c r="C23" s="689">
        <v>1956</v>
      </c>
      <c r="D23" s="689">
        <v>1953</v>
      </c>
      <c r="E23" s="689">
        <v>1953</v>
      </c>
      <c r="F23" s="689">
        <v>1953</v>
      </c>
      <c r="G23" s="689">
        <v>1953</v>
      </c>
      <c r="H23" s="689">
        <v>1953</v>
      </c>
      <c r="I23" s="689">
        <v>1953</v>
      </c>
      <c r="J23" s="689">
        <v>1953</v>
      </c>
      <c r="K23" s="689">
        <v>1953</v>
      </c>
      <c r="L23" s="689">
        <v>1953</v>
      </c>
      <c r="M23" s="689">
        <v>1953</v>
      </c>
    </row>
    <row r="24" spans="1:13" s="212" customFormat="1" ht="12.75" customHeight="1">
      <c r="A24" s="93">
        <v>13</v>
      </c>
      <c r="B24" s="536" t="s">
        <v>1007</v>
      </c>
      <c r="C24" s="689">
        <v>1452</v>
      </c>
      <c r="D24" s="689">
        <v>1452</v>
      </c>
      <c r="E24" s="689">
        <v>1452</v>
      </c>
      <c r="F24" s="689">
        <v>1452</v>
      </c>
      <c r="G24" s="689">
        <v>1452</v>
      </c>
      <c r="H24" s="689">
        <v>1452</v>
      </c>
      <c r="I24" s="689">
        <v>1452</v>
      </c>
      <c r="J24" s="689">
        <v>1452</v>
      </c>
      <c r="K24" s="689">
        <v>1452</v>
      </c>
      <c r="L24" s="689">
        <v>1452</v>
      </c>
      <c r="M24" s="689">
        <v>1452</v>
      </c>
    </row>
    <row r="25" spans="1:13" s="212" customFormat="1" ht="12.75" customHeight="1">
      <c r="A25" s="93">
        <v>14</v>
      </c>
      <c r="B25" s="536" t="s">
        <v>971</v>
      </c>
      <c r="C25" s="689">
        <v>1593</v>
      </c>
      <c r="D25" s="689">
        <v>1593</v>
      </c>
      <c r="E25" s="689">
        <v>1317</v>
      </c>
      <c r="F25" s="689">
        <v>1317</v>
      </c>
      <c r="G25" s="689">
        <v>1317</v>
      </c>
      <c r="H25" s="689">
        <v>1316</v>
      </c>
      <c r="I25" s="689">
        <v>1316</v>
      </c>
      <c r="J25" s="689">
        <v>1316</v>
      </c>
      <c r="K25" s="689">
        <v>1316</v>
      </c>
      <c r="L25" s="689">
        <v>1316</v>
      </c>
      <c r="M25" s="689">
        <v>1316</v>
      </c>
    </row>
    <row r="26" spans="1:13" s="212" customFormat="1" ht="12.75" customHeight="1">
      <c r="A26" s="93">
        <v>15</v>
      </c>
      <c r="B26" s="536" t="s">
        <v>1006</v>
      </c>
      <c r="C26" s="689">
        <v>502</v>
      </c>
      <c r="D26" s="689">
        <v>476</v>
      </c>
      <c r="E26" s="689">
        <v>476</v>
      </c>
      <c r="F26" s="689">
        <v>476</v>
      </c>
      <c r="G26" s="689">
        <v>476</v>
      </c>
      <c r="H26" s="689">
        <v>476</v>
      </c>
      <c r="I26" s="689">
        <v>476</v>
      </c>
      <c r="J26" s="689">
        <v>476</v>
      </c>
      <c r="K26" s="689">
        <v>476</v>
      </c>
      <c r="L26" s="689">
        <v>476</v>
      </c>
      <c r="M26" s="689">
        <v>476</v>
      </c>
    </row>
    <row r="27" spans="1:13" s="212" customFormat="1" ht="12.75" customHeight="1">
      <c r="A27" s="93">
        <v>16</v>
      </c>
      <c r="B27" s="536" t="s">
        <v>1004</v>
      </c>
      <c r="C27" s="689">
        <v>2630</v>
      </c>
      <c r="D27" s="689">
        <v>2623</v>
      </c>
      <c r="E27" s="689">
        <v>2622</v>
      </c>
      <c r="F27" s="689">
        <v>2622</v>
      </c>
      <c r="G27" s="689">
        <v>2622</v>
      </c>
      <c r="H27" s="689">
        <v>2622</v>
      </c>
      <c r="I27" s="689">
        <v>2622</v>
      </c>
      <c r="J27" s="689">
        <v>2622</v>
      </c>
      <c r="K27" s="689">
        <v>2622</v>
      </c>
      <c r="L27" s="689">
        <v>2622</v>
      </c>
      <c r="M27" s="689">
        <v>2617</v>
      </c>
    </row>
    <row r="28" spans="1:13" s="212" customFormat="1" ht="12.75" customHeight="1">
      <c r="A28" s="93">
        <v>17</v>
      </c>
      <c r="B28" s="536" t="s">
        <v>1001</v>
      </c>
      <c r="C28" s="689">
        <v>2227</v>
      </c>
      <c r="D28" s="689">
        <v>2005</v>
      </c>
      <c r="E28" s="689">
        <v>1747</v>
      </c>
      <c r="F28" s="689">
        <v>1746</v>
      </c>
      <c r="G28" s="689">
        <v>1741</v>
      </c>
      <c r="H28" s="689">
        <v>1731</v>
      </c>
      <c r="I28" s="689">
        <v>1694</v>
      </c>
      <c r="J28" s="689">
        <v>1655</v>
      </c>
      <c r="K28" s="689">
        <v>1647</v>
      </c>
      <c r="L28" s="689">
        <v>1641</v>
      </c>
      <c r="M28" s="689">
        <v>1509</v>
      </c>
    </row>
    <row r="29" spans="1:13" s="212" customFormat="1" ht="12.75" customHeight="1">
      <c r="A29" s="93">
        <v>18</v>
      </c>
      <c r="B29" s="536" t="s">
        <v>1002</v>
      </c>
      <c r="C29" s="689">
        <v>1376</v>
      </c>
      <c r="D29" s="689">
        <v>1376</v>
      </c>
      <c r="E29" s="689">
        <v>1376</v>
      </c>
      <c r="F29" s="689">
        <v>1376</v>
      </c>
      <c r="G29" s="689">
        <v>1376</v>
      </c>
      <c r="H29" s="689">
        <v>1376</v>
      </c>
      <c r="I29" s="689">
        <v>1376</v>
      </c>
      <c r="J29" s="689">
        <v>1376</v>
      </c>
      <c r="K29" s="689">
        <v>1376</v>
      </c>
      <c r="L29" s="689">
        <v>1376</v>
      </c>
      <c r="M29" s="689">
        <v>1376</v>
      </c>
    </row>
    <row r="30" spans="1:13" s="212" customFormat="1" ht="12.75" customHeight="1">
      <c r="A30" s="93">
        <v>19</v>
      </c>
      <c r="B30" s="536" t="s">
        <v>1010</v>
      </c>
      <c r="C30" s="689">
        <v>958</v>
      </c>
      <c r="D30" s="689">
        <v>958</v>
      </c>
      <c r="E30" s="689">
        <v>958</v>
      </c>
      <c r="F30" s="689">
        <v>958</v>
      </c>
      <c r="G30" s="689">
        <v>958</v>
      </c>
      <c r="H30" s="689">
        <v>958</v>
      </c>
      <c r="I30" s="689">
        <v>958</v>
      </c>
      <c r="J30" s="689">
        <v>958</v>
      </c>
      <c r="K30" s="689">
        <v>958</v>
      </c>
      <c r="L30" s="689">
        <v>958</v>
      </c>
      <c r="M30" s="689">
        <v>958</v>
      </c>
    </row>
    <row r="31" spans="1:13" s="212" customFormat="1" ht="12.75" customHeight="1">
      <c r="A31" s="93">
        <v>20</v>
      </c>
      <c r="B31" s="731" t="s">
        <v>1003</v>
      </c>
      <c r="C31" s="732">
        <v>1075</v>
      </c>
      <c r="D31" s="732">
        <v>454</v>
      </c>
      <c r="E31" s="733">
        <v>416</v>
      </c>
      <c r="F31" s="733">
        <v>396</v>
      </c>
      <c r="G31" s="733">
        <v>217</v>
      </c>
      <c r="H31" s="733">
        <v>50</v>
      </c>
      <c r="I31" s="733">
        <v>35</v>
      </c>
      <c r="J31" s="733">
        <v>35</v>
      </c>
      <c r="K31" s="733">
        <v>35</v>
      </c>
      <c r="L31" s="733">
        <v>35</v>
      </c>
      <c r="M31" s="733">
        <v>35</v>
      </c>
    </row>
    <row r="32" spans="1:13" s="212" customFormat="1" ht="12.75" customHeight="1">
      <c r="A32" s="93">
        <v>21</v>
      </c>
      <c r="B32" s="536" t="s">
        <v>1012</v>
      </c>
      <c r="C32" s="689">
        <v>1258</v>
      </c>
      <c r="D32" s="689">
        <v>1253</v>
      </c>
      <c r="E32" s="689">
        <v>1253</v>
      </c>
      <c r="F32" s="689">
        <v>1253</v>
      </c>
      <c r="G32" s="689">
        <v>1253</v>
      </c>
      <c r="H32" s="689">
        <v>1253</v>
      </c>
      <c r="I32" s="689">
        <v>1253</v>
      </c>
      <c r="J32" s="689">
        <v>1253</v>
      </c>
      <c r="K32" s="689">
        <v>1253</v>
      </c>
      <c r="L32" s="689">
        <v>1253</v>
      </c>
      <c r="M32" s="689">
        <v>1253</v>
      </c>
    </row>
    <row r="33" spans="1:13" s="212" customFormat="1" ht="12.75" customHeight="1">
      <c r="A33" s="93">
        <v>22</v>
      </c>
      <c r="B33" s="536" t="s">
        <v>1011</v>
      </c>
      <c r="C33" s="689">
        <v>1089</v>
      </c>
      <c r="D33" s="689">
        <v>1087</v>
      </c>
      <c r="E33" s="689">
        <v>1087</v>
      </c>
      <c r="F33" s="689">
        <v>1087</v>
      </c>
      <c r="G33" s="689">
        <v>1087</v>
      </c>
      <c r="H33" s="689">
        <v>1087</v>
      </c>
      <c r="I33" s="689">
        <v>1087</v>
      </c>
      <c r="J33" s="689">
        <v>1087</v>
      </c>
      <c r="K33" s="689">
        <v>1087</v>
      </c>
      <c r="L33" s="689">
        <v>1087</v>
      </c>
      <c r="M33" s="689">
        <v>1087</v>
      </c>
    </row>
    <row r="34" spans="1:13" s="212" customFormat="1" ht="12.75" customHeight="1">
      <c r="A34" s="93">
        <v>23</v>
      </c>
      <c r="B34" s="536" t="s">
        <v>1005</v>
      </c>
      <c r="C34" s="689">
        <v>1515</v>
      </c>
      <c r="D34" s="689">
        <v>1513</v>
      </c>
      <c r="E34" s="689">
        <v>1513</v>
      </c>
      <c r="F34" s="689">
        <v>1512</v>
      </c>
      <c r="G34" s="689">
        <v>1512</v>
      </c>
      <c r="H34" s="689">
        <v>1512</v>
      </c>
      <c r="I34" s="689">
        <v>1512</v>
      </c>
      <c r="J34" s="689">
        <v>1512</v>
      </c>
      <c r="K34" s="689">
        <v>1312</v>
      </c>
      <c r="L34" s="689">
        <v>1308</v>
      </c>
      <c r="M34" s="689">
        <v>1303</v>
      </c>
    </row>
    <row r="35" spans="1:13" s="212" customFormat="1" ht="12.75" customHeight="1">
      <c r="A35" s="93">
        <v>24</v>
      </c>
      <c r="B35" s="536" t="s">
        <v>972</v>
      </c>
      <c r="C35" s="689">
        <v>834</v>
      </c>
      <c r="D35" s="689">
        <v>834</v>
      </c>
      <c r="E35" s="689">
        <v>834</v>
      </c>
      <c r="F35" s="689">
        <v>834</v>
      </c>
      <c r="G35" s="689">
        <v>834</v>
      </c>
      <c r="H35" s="689">
        <v>834</v>
      </c>
      <c r="I35" s="689">
        <v>834</v>
      </c>
      <c r="J35" s="689">
        <v>834</v>
      </c>
      <c r="K35" s="689">
        <v>834</v>
      </c>
      <c r="L35" s="689">
        <v>834</v>
      </c>
      <c r="M35" s="689">
        <v>834</v>
      </c>
    </row>
    <row r="36" spans="1:13" s="212" customFormat="1" ht="12.75" customHeight="1">
      <c r="A36" s="93">
        <v>25</v>
      </c>
      <c r="B36" s="536" t="s">
        <v>999</v>
      </c>
      <c r="C36" s="689">
        <v>1253</v>
      </c>
      <c r="D36" s="689">
        <v>1245</v>
      </c>
      <c r="E36" s="689">
        <v>1090</v>
      </c>
      <c r="F36" s="689">
        <v>1084</v>
      </c>
      <c r="G36" s="689">
        <v>1075</v>
      </c>
      <c r="H36" s="689">
        <v>1075</v>
      </c>
      <c r="I36" s="689">
        <v>1003</v>
      </c>
      <c r="J36" s="689">
        <v>968</v>
      </c>
      <c r="K36" s="689">
        <v>963</v>
      </c>
      <c r="L36" s="689">
        <v>950</v>
      </c>
      <c r="M36" s="689">
        <v>950</v>
      </c>
    </row>
    <row r="37" spans="1:13" s="212" customFormat="1" ht="12.75" customHeight="1">
      <c r="A37" s="93">
        <v>26</v>
      </c>
      <c r="B37" s="536" t="s">
        <v>973</v>
      </c>
      <c r="C37" s="689">
        <v>825</v>
      </c>
      <c r="D37" s="689">
        <v>759</v>
      </c>
      <c r="E37" s="689">
        <v>515</v>
      </c>
      <c r="F37" s="689">
        <v>512</v>
      </c>
      <c r="G37" s="689">
        <v>493</v>
      </c>
      <c r="H37" s="689">
        <v>492</v>
      </c>
      <c r="I37" s="689">
        <v>492</v>
      </c>
      <c r="J37" s="689">
        <v>491</v>
      </c>
      <c r="K37" s="689">
        <v>491</v>
      </c>
      <c r="L37" s="689">
        <v>491</v>
      </c>
      <c r="M37" s="689">
        <v>491</v>
      </c>
    </row>
    <row r="38" spans="1:13" s="212" customFormat="1" ht="12.75" customHeight="1">
      <c r="A38" s="93">
        <v>27</v>
      </c>
      <c r="B38" s="536" t="s">
        <v>974</v>
      </c>
      <c r="C38" s="689">
        <v>1676</v>
      </c>
      <c r="D38" s="689">
        <v>1606</v>
      </c>
      <c r="E38" s="689">
        <v>1554</v>
      </c>
      <c r="F38" s="689">
        <v>1486</v>
      </c>
      <c r="G38" s="689">
        <v>1471</v>
      </c>
      <c r="H38" s="689">
        <v>1138</v>
      </c>
      <c r="I38" s="689">
        <v>833</v>
      </c>
      <c r="J38" s="689">
        <v>824</v>
      </c>
      <c r="K38" s="689">
        <v>799</v>
      </c>
      <c r="L38" s="689">
        <v>720</v>
      </c>
      <c r="M38" s="689">
        <v>718</v>
      </c>
    </row>
    <row r="39" spans="1:13" s="212" customFormat="1" ht="12.75" customHeight="1">
      <c r="A39" s="93">
        <v>28</v>
      </c>
      <c r="B39" s="536" t="s">
        <v>975</v>
      </c>
      <c r="C39" s="689">
        <v>2303</v>
      </c>
      <c r="D39" s="689">
        <v>2299</v>
      </c>
      <c r="E39" s="689">
        <v>2152</v>
      </c>
      <c r="F39" s="689">
        <v>2152</v>
      </c>
      <c r="G39" s="689">
        <v>2075</v>
      </c>
      <c r="H39" s="689">
        <v>2062</v>
      </c>
      <c r="I39" s="689">
        <v>1940</v>
      </c>
      <c r="J39" s="689">
        <v>1923</v>
      </c>
      <c r="K39" s="689">
        <v>1900</v>
      </c>
      <c r="L39" s="689">
        <v>1850</v>
      </c>
      <c r="M39" s="689">
        <v>1777</v>
      </c>
    </row>
    <row r="40" spans="1:13">
      <c r="A40" s="93">
        <v>29</v>
      </c>
      <c r="B40" s="536" t="s">
        <v>1000</v>
      </c>
      <c r="C40" s="689">
        <v>937</v>
      </c>
      <c r="D40" s="689">
        <v>923</v>
      </c>
      <c r="E40" s="689">
        <v>923</v>
      </c>
      <c r="F40" s="689">
        <v>923</v>
      </c>
      <c r="G40" s="689">
        <v>923</v>
      </c>
      <c r="H40" s="689">
        <v>923</v>
      </c>
      <c r="I40" s="689">
        <v>923</v>
      </c>
      <c r="J40" s="689">
        <v>923</v>
      </c>
      <c r="K40" s="689">
        <v>923</v>
      </c>
      <c r="L40" s="689">
        <v>923</v>
      </c>
      <c r="M40" s="689">
        <v>923</v>
      </c>
    </row>
    <row r="41" spans="1:13">
      <c r="A41" s="93">
        <v>30</v>
      </c>
      <c r="B41" s="536" t="s">
        <v>976</v>
      </c>
      <c r="C41" s="689">
        <v>1649</v>
      </c>
      <c r="D41" s="689">
        <v>1645</v>
      </c>
      <c r="E41" s="689">
        <v>1561</v>
      </c>
      <c r="F41" s="689">
        <v>1557</v>
      </c>
      <c r="G41" s="689">
        <v>1555</v>
      </c>
      <c r="H41" s="689">
        <v>1548</v>
      </c>
      <c r="I41" s="689">
        <v>1540</v>
      </c>
      <c r="J41" s="689">
        <v>1432</v>
      </c>
      <c r="K41" s="689">
        <v>1354</v>
      </c>
      <c r="L41" s="689">
        <v>1278</v>
      </c>
      <c r="M41" s="689">
        <v>625</v>
      </c>
    </row>
    <row r="42" spans="1:13">
      <c r="A42" s="93">
        <v>31</v>
      </c>
      <c r="B42" s="536" t="s">
        <v>977</v>
      </c>
      <c r="C42" s="689">
        <v>1937</v>
      </c>
      <c r="D42" s="689">
        <v>1935</v>
      </c>
      <c r="E42" s="689">
        <v>1919</v>
      </c>
      <c r="F42" s="689">
        <v>1881</v>
      </c>
      <c r="G42" s="689">
        <v>1284</v>
      </c>
      <c r="H42" s="689">
        <v>1269</v>
      </c>
      <c r="I42" s="689">
        <v>862</v>
      </c>
      <c r="J42" s="689">
        <v>717</v>
      </c>
      <c r="K42" s="689">
        <v>713</v>
      </c>
      <c r="L42" s="689">
        <v>712</v>
      </c>
      <c r="M42" s="689">
        <v>711</v>
      </c>
    </row>
    <row r="43" spans="1:13" s="140" customFormat="1" ht="12.75" customHeight="1">
      <c r="A43" s="93">
        <v>32</v>
      </c>
      <c r="B43" s="536" t="s">
        <v>978</v>
      </c>
      <c r="C43" s="689">
        <v>1154</v>
      </c>
      <c r="D43" s="689">
        <v>1154</v>
      </c>
      <c r="E43" s="689">
        <v>1154</v>
      </c>
      <c r="F43" s="689">
        <v>1154</v>
      </c>
      <c r="G43" s="689">
        <v>1154</v>
      </c>
      <c r="H43" s="689">
        <v>1154</v>
      </c>
      <c r="I43" s="689">
        <v>1154</v>
      </c>
      <c r="J43" s="689">
        <v>1154</v>
      </c>
      <c r="K43" s="689">
        <v>1154</v>
      </c>
      <c r="L43" s="689">
        <v>1154</v>
      </c>
      <c r="M43" s="689">
        <v>1154</v>
      </c>
    </row>
    <row r="44" spans="1:13" s="140" customFormat="1" ht="12.75" customHeight="1">
      <c r="A44" s="93">
        <v>33</v>
      </c>
      <c r="B44" s="536" t="s">
        <v>979</v>
      </c>
      <c r="C44" s="689">
        <v>2327</v>
      </c>
      <c r="D44" s="689">
        <v>2327</v>
      </c>
      <c r="E44" s="689">
        <v>2327</v>
      </c>
      <c r="F44" s="689">
        <v>2327</v>
      </c>
      <c r="G44" s="689">
        <v>2327</v>
      </c>
      <c r="H44" s="689">
        <v>2327</v>
      </c>
      <c r="I44" s="689">
        <v>2327</v>
      </c>
      <c r="J44" s="689">
        <v>2327</v>
      </c>
      <c r="K44" s="689">
        <v>2327</v>
      </c>
      <c r="L44" s="689">
        <v>2327</v>
      </c>
      <c r="M44" s="689">
        <v>2327</v>
      </c>
    </row>
    <row r="45" spans="1:13" s="140" customFormat="1" ht="13.15" customHeight="1">
      <c r="A45" s="93">
        <v>34</v>
      </c>
      <c r="B45" s="536" t="s">
        <v>980</v>
      </c>
      <c r="C45" s="689">
        <v>1099</v>
      </c>
      <c r="D45" s="689">
        <v>1094</v>
      </c>
      <c r="E45" s="689">
        <v>804</v>
      </c>
      <c r="F45" s="689">
        <v>804</v>
      </c>
      <c r="G45" s="689">
        <v>727</v>
      </c>
      <c r="H45" s="689">
        <v>724</v>
      </c>
      <c r="I45" s="689">
        <v>712</v>
      </c>
      <c r="J45" s="689">
        <v>708</v>
      </c>
      <c r="K45" s="689">
        <v>706</v>
      </c>
      <c r="L45" s="689">
        <v>700</v>
      </c>
      <c r="M45" s="689">
        <v>687</v>
      </c>
    </row>
    <row r="46" spans="1:13">
      <c r="A46" s="144" t="s">
        <v>17</v>
      </c>
      <c r="B46" s="144"/>
      <c r="C46" s="144">
        <v>53562</v>
      </c>
      <c r="D46" s="144">
        <v>52392</v>
      </c>
      <c r="E46" s="144">
        <v>50695</v>
      </c>
      <c r="F46" s="144">
        <v>50509</v>
      </c>
      <c r="G46" s="144">
        <v>49261</v>
      </c>
      <c r="H46" s="144">
        <v>48115</v>
      </c>
      <c r="I46" s="144">
        <v>47004</v>
      </c>
      <c r="J46" s="144">
        <v>46395</v>
      </c>
      <c r="K46" s="144">
        <v>45527</v>
      </c>
      <c r="L46" s="144">
        <v>44675</v>
      </c>
      <c r="M46" s="144">
        <v>43365</v>
      </c>
    </row>
    <row r="49" spans="1:13">
      <c r="A49" s="901" t="s">
        <v>906</v>
      </c>
      <c r="B49" s="901"/>
      <c r="C49" s="901"/>
      <c r="H49" s="901" t="s">
        <v>12</v>
      </c>
      <c r="I49" s="901"/>
      <c r="J49" s="901"/>
      <c r="K49" s="901"/>
      <c r="L49" s="901"/>
      <c r="M49" s="901"/>
    </row>
    <row r="50" spans="1:13">
      <c r="A50" s="901" t="s">
        <v>907</v>
      </c>
      <c r="B50" s="901"/>
      <c r="C50" s="901"/>
      <c r="H50" s="901" t="s">
        <v>13</v>
      </c>
      <c r="I50" s="901"/>
      <c r="J50" s="901"/>
      <c r="K50" s="901"/>
      <c r="L50" s="901"/>
      <c r="M50" s="901"/>
    </row>
    <row r="51" spans="1:13">
      <c r="A51" s="901" t="s">
        <v>908</v>
      </c>
      <c r="B51" s="901"/>
      <c r="C51" s="901"/>
      <c r="H51" s="901" t="s">
        <v>87</v>
      </c>
      <c r="I51" s="901"/>
      <c r="J51" s="901"/>
      <c r="K51" s="901"/>
      <c r="L51" s="901"/>
      <c r="M51" s="901"/>
    </row>
    <row r="52" spans="1:13">
      <c r="A52" s="204" t="s">
        <v>11</v>
      </c>
      <c r="H52" s="897" t="s">
        <v>84</v>
      </c>
      <c r="I52" s="897"/>
      <c r="J52" s="897"/>
      <c r="K52" s="897"/>
    </row>
  </sheetData>
  <mergeCells count="16">
    <mergeCell ref="H50:M50"/>
    <mergeCell ref="H51:M51"/>
    <mergeCell ref="H52:K52"/>
    <mergeCell ref="H1:I1"/>
    <mergeCell ref="A3:M3"/>
    <mergeCell ref="A4:M4"/>
    <mergeCell ref="A9:A10"/>
    <mergeCell ref="B9:B10"/>
    <mergeCell ref="D2:G2"/>
    <mergeCell ref="C9:C10"/>
    <mergeCell ref="D9:D10"/>
    <mergeCell ref="E9:M9"/>
    <mergeCell ref="H49:M49"/>
    <mergeCell ref="A49:C49"/>
    <mergeCell ref="A50:C50"/>
    <mergeCell ref="A51:C51"/>
  </mergeCells>
  <hyperlinks>
    <hyperlink ref="C38" r:id="rId1" display="javascript:__doPostBack('ctl00$ContentPlaceHolder1$Grd_tot_detail$ctl02$lbtnttlsch','')"/>
    <hyperlink ref="D38" r:id="rId2" display="javascript:__doPostBack('ctl00$ContentPlaceHolder1$Grd_tot_detail$ctl02$lbtnfreezsch','')"/>
    <hyperlink ref="E38" r:id="rId3" display="javascript:__doPostBack('ctl00$ContentPlaceHolder1$Grd_tot_detail$ctl02$hypapr','')"/>
    <hyperlink ref="F38" r:id="rId4" display="javascript:__doPostBack('ctl00$ContentPlaceHolder1$Grd_tot_detail$ctl02$hypmay','')"/>
    <hyperlink ref="G38" r:id="rId5" display="javascript:__doPostBack('ctl00$ContentPlaceHolder1$Grd_tot_detail$ctl02$hypjune','')"/>
    <hyperlink ref="H38" r:id="rId6" display="javascript:__doPostBack('ctl00$ContentPlaceHolder1$Grd_tot_detail$ctl02$hypjuly','')"/>
    <hyperlink ref="I38" r:id="rId7" display="javascript:__doPostBack('ctl00$ContentPlaceHolder1$Grd_tot_detail$ctl02$hypAugust','')"/>
    <hyperlink ref="J38" r:id="rId8" display="javascript:__doPostBack('ctl00$ContentPlaceHolder1$Grd_tot_detail$ctl02$hypSeptember','')"/>
    <hyperlink ref="K38" r:id="rId9" display="javascript:__doPostBack('ctl00$ContentPlaceHolder1$Grd_tot_detail$ctl02$hypOcteber','')"/>
    <hyperlink ref="L38" r:id="rId10" display="javascript:__doPostBack('ctl00$ContentPlaceHolder1$Grd_tot_detail$ctl02$hypNovember','')"/>
    <hyperlink ref="M38" r:id="rId11" display="javascript:__doPostBack('ctl00$ContentPlaceHolder1$Grd_tot_detail$ctl02$hypDecember','')"/>
    <hyperlink ref="C41" r:id="rId12" display="javascript:__doPostBack('ctl00$ContentPlaceHolder1$Grd_tot_detail$ctl03$lbtnttlsch','')"/>
    <hyperlink ref="D41" r:id="rId13" display="javascript:__doPostBack('ctl00$ContentPlaceHolder1$Grd_tot_detail$ctl03$lbtnfreezsch','')"/>
    <hyperlink ref="E41" r:id="rId14" display="javascript:__doPostBack('ctl00$ContentPlaceHolder1$Grd_tot_detail$ctl03$hypapr','')"/>
    <hyperlink ref="F41" r:id="rId15" display="javascript:__doPostBack('ctl00$ContentPlaceHolder1$Grd_tot_detail$ctl03$hypmay','')"/>
    <hyperlink ref="G41" r:id="rId16" display="javascript:__doPostBack('ctl00$ContentPlaceHolder1$Grd_tot_detail$ctl03$hypjune','')"/>
    <hyperlink ref="H41" r:id="rId17" display="javascript:__doPostBack('ctl00$ContentPlaceHolder1$Grd_tot_detail$ctl03$hypjuly','')"/>
    <hyperlink ref="I41" r:id="rId18" display="javascript:__doPostBack('ctl00$ContentPlaceHolder1$Grd_tot_detail$ctl03$hypAugust','')"/>
    <hyperlink ref="J41" r:id="rId19" display="javascript:__doPostBack('ctl00$ContentPlaceHolder1$Grd_tot_detail$ctl03$hypSeptember','')"/>
    <hyperlink ref="K41" r:id="rId20" display="javascript:__doPostBack('ctl00$ContentPlaceHolder1$Grd_tot_detail$ctl03$hypOcteber','')"/>
    <hyperlink ref="L41" r:id="rId21" display="javascript:__doPostBack('ctl00$ContentPlaceHolder1$Grd_tot_detail$ctl03$hypNovember','')"/>
    <hyperlink ref="M41" r:id="rId22" display="javascript:__doPostBack('ctl00$ContentPlaceHolder1$Grd_tot_detail$ctl03$hypDecember','')"/>
    <hyperlink ref="C37" r:id="rId23" display="javascript:__doPostBack('ctl00$ContentPlaceHolder1$Grd_tot_detail$ctl04$lbtnttlsch','')"/>
    <hyperlink ref="D37" r:id="rId24" display="javascript:__doPostBack('ctl00$ContentPlaceHolder1$Grd_tot_detail$ctl04$lbtnfreezsch','')"/>
    <hyperlink ref="E37" r:id="rId25" display="javascript:__doPostBack('ctl00$ContentPlaceHolder1$Grd_tot_detail$ctl04$hypapr','')"/>
    <hyperlink ref="F37" r:id="rId26" display="javascript:__doPostBack('ctl00$ContentPlaceHolder1$Grd_tot_detail$ctl04$hypmay','')"/>
    <hyperlink ref="G37" r:id="rId27" display="javascript:__doPostBack('ctl00$ContentPlaceHolder1$Grd_tot_detail$ctl04$hypjune','')"/>
    <hyperlink ref="H37" r:id="rId28" display="javascript:__doPostBack('ctl00$ContentPlaceHolder1$Grd_tot_detail$ctl04$hypjuly','')"/>
    <hyperlink ref="I37" r:id="rId29" display="javascript:__doPostBack('ctl00$ContentPlaceHolder1$Grd_tot_detail$ctl04$hypAugust','')"/>
    <hyperlink ref="J37" r:id="rId30" display="javascript:__doPostBack('ctl00$ContentPlaceHolder1$Grd_tot_detail$ctl04$hypSeptember','')"/>
    <hyperlink ref="K37" r:id="rId31" display="javascript:__doPostBack('ctl00$ContentPlaceHolder1$Grd_tot_detail$ctl04$hypOcteber','')"/>
    <hyperlink ref="L37" r:id="rId32" display="javascript:__doPostBack('ctl00$ContentPlaceHolder1$Grd_tot_detail$ctl04$hypNovember','')"/>
    <hyperlink ref="M37" r:id="rId33" display="javascript:__doPostBack('ctl00$ContentPlaceHolder1$Grd_tot_detail$ctl04$hypDecember','')"/>
    <hyperlink ref="C36" r:id="rId34" display="javascript:__doPostBack('ctl00$ContentPlaceHolder1$Grd_tot_detail$ctl05$lbtnttlsch','')"/>
    <hyperlink ref="D36" r:id="rId35" display="javascript:__doPostBack('ctl00$ContentPlaceHolder1$Grd_tot_detail$ctl05$lbtnfreezsch','')"/>
    <hyperlink ref="E36" r:id="rId36" display="javascript:__doPostBack('ctl00$ContentPlaceHolder1$Grd_tot_detail$ctl05$hypapr','')"/>
    <hyperlink ref="F36" r:id="rId37" display="javascript:__doPostBack('ctl00$ContentPlaceHolder1$Grd_tot_detail$ctl05$hypmay','')"/>
    <hyperlink ref="G36" r:id="rId38" display="javascript:__doPostBack('ctl00$ContentPlaceHolder1$Grd_tot_detail$ctl05$hypjune','')"/>
    <hyperlink ref="H36" r:id="rId39" display="javascript:__doPostBack('ctl00$ContentPlaceHolder1$Grd_tot_detail$ctl05$hypjuly','')"/>
    <hyperlink ref="I36" r:id="rId40" display="javascript:__doPostBack('ctl00$ContentPlaceHolder1$Grd_tot_detail$ctl05$hypAugust','')"/>
    <hyperlink ref="J36" r:id="rId41" display="javascript:__doPostBack('ctl00$ContentPlaceHolder1$Grd_tot_detail$ctl05$hypSeptember','')"/>
    <hyperlink ref="K36" r:id="rId42" display="javascript:__doPostBack('ctl00$ContentPlaceHolder1$Grd_tot_detail$ctl05$hypOcteber','')"/>
    <hyperlink ref="L36" r:id="rId43" display="javascript:__doPostBack('ctl00$ContentPlaceHolder1$Grd_tot_detail$ctl05$hypNovember','')"/>
    <hyperlink ref="M36" r:id="rId44" display="javascript:__doPostBack('ctl00$ContentPlaceHolder1$Grd_tot_detail$ctl05$hypDecember','')"/>
    <hyperlink ref="C17" r:id="rId45" display="javascript:__doPostBack('ctl00$ContentPlaceHolder1$Grd_tot_detail$ctl06$lbtnttlsch','')"/>
    <hyperlink ref="D17" r:id="rId46" display="javascript:__doPostBack('ctl00$ContentPlaceHolder1$Grd_tot_detail$ctl06$lbtnfreezsch','')"/>
    <hyperlink ref="E17" r:id="rId47" display="javascript:__doPostBack('ctl00$ContentPlaceHolder1$Grd_tot_detail$ctl06$hypapr','')"/>
    <hyperlink ref="F17" r:id="rId48" display="javascript:__doPostBack('ctl00$ContentPlaceHolder1$Grd_tot_detail$ctl06$hypmay','')"/>
    <hyperlink ref="G17" r:id="rId49" display="javascript:__doPostBack('ctl00$ContentPlaceHolder1$Grd_tot_detail$ctl06$hypjune','')"/>
    <hyperlink ref="H17" r:id="rId50" display="javascript:__doPostBack('ctl00$ContentPlaceHolder1$Grd_tot_detail$ctl06$hypjuly','')"/>
    <hyperlink ref="I17" r:id="rId51" display="javascript:__doPostBack('ctl00$ContentPlaceHolder1$Grd_tot_detail$ctl06$hypAugust','')"/>
    <hyperlink ref="J17" r:id="rId52" display="javascript:__doPostBack('ctl00$ContentPlaceHolder1$Grd_tot_detail$ctl06$hypSeptember','')"/>
    <hyperlink ref="K17" r:id="rId53" display="javascript:__doPostBack('ctl00$ContentPlaceHolder1$Grd_tot_detail$ctl06$hypOcteber','')"/>
    <hyperlink ref="L17" r:id="rId54" display="javascript:__doPostBack('ctl00$ContentPlaceHolder1$Grd_tot_detail$ctl06$hypNovember','')"/>
    <hyperlink ref="M17" r:id="rId55" display="javascript:__doPostBack('ctl00$ContentPlaceHolder1$Grd_tot_detail$ctl06$hypDecember','')"/>
    <hyperlink ref="C12" r:id="rId56" display="javascript:__doPostBack('ctl00$ContentPlaceHolder1$Grd_tot_detail$ctl07$lbtnttlsch','')"/>
    <hyperlink ref="D12" r:id="rId57" display="javascript:__doPostBack('ctl00$ContentPlaceHolder1$Grd_tot_detail$ctl07$lbtnfreezsch','')"/>
    <hyperlink ref="E12" r:id="rId58" display="javascript:__doPostBack('ctl00$ContentPlaceHolder1$Grd_tot_detail$ctl07$hypapr','')"/>
    <hyperlink ref="F12" r:id="rId59" display="javascript:__doPostBack('ctl00$ContentPlaceHolder1$Grd_tot_detail$ctl07$hypmay','')"/>
    <hyperlink ref="G12" r:id="rId60" display="javascript:__doPostBack('ctl00$ContentPlaceHolder1$Grd_tot_detail$ctl07$hypjune','')"/>
    <hyperlink ref="H12" r:id="rId61" display="javascript:__doPostBack('ctl00$ContentPlaceHolder1$Grd_tot_detail$ctl07$hypjuly','')"/>
    <hyperlink ref="I12" r:id="rId62" display="javascript:__doPostBack('ctl00$ContentPlaceHolder1$Grd_tot_detail$ctl07$hypAugust','')"/>
    <hyperlink ref="J12" r:id="rId63" display="javascript:__doPostBack('ctl00$ContentPlaceHolder1$Grd_tot_detail$ctl07$hypSeptember','')"/>
    <hyperlink ref="K12" r:id="rId64" display="javascript:__doPostBack('ctl00$ContentPlaceHolder1$Grd_tot_detail$ctl07$hypOcteber','')"/>
    <hyperlink ref="L12" r:id="rId65" display="javascript:__doPostBack('ctl00$ContentPlaceHolder1$Grd_tot_detail$ctl07$hypNovember','')"/>
    <hyperlink ref="M12" r:id="rId66" display="javascript:__doPostBack('ctl00$ContentPlaceHolder1$Grd_tot_detail$ctl07$hypDecember','')"/>
    <hyperlink ref="C13" r:id="rId67" display="javascript:__doPostBack('ctl00$ContentPlaceHolder1$Grd_tot_detail$ctl08$lbtnttlsch','')"/>
    <hyperlink ref="D13" r:id="rId68" display="javascript:__doPostBack('ctl00$ContentPlaceHolder1$Grd_tot_detail$ctl08$lbtnfreezsch','')"/>
    <hyperlink ref="E13" r:id="rId69" display="javascript:__doPostBack('ctl00$ContentPlaceHolder1$Grd_tot_detail$ctl08$hypapr','')"/>
    <hyperlink ref="F13" r:id="rId70" display="javascript:__doPostBack('ctl00$ContentPlaceHolder1$Grd_tot_detail$ctl08$hypmay','')"/>
    <hyperlink ref="G13" r:id="rId71" display="javascript:__doPostBack('ctl00$ContentPlaceHolder1$Grd_tot_detail$ctl08$hypjune','')"/>
    <hyperlink ref="H13" r:id="rId72" display="javascript:__doPostBack('ctl00$ContentPlaceHolder1$Grd_tot_detail$ctl08$hypjuly','')"/>
    <hyperlink ref="I13" r:id="rId73" display="javascript:__doPostBack('ctl00$ContentPlaceHolder1$Grd_tot_detail$ctl08$hypAugust','')"/>
    <hyperlink ref="J13" r:id="rId74" display="javascript:__doPostBack('ctl00$ContentPlaceHolder1$Grd_tot_detail$ctl08$hypSeptember','')"/>
    <hyperlink ref="K13" r:id="rId75" display="javascript:__doPostBack('ctl00$ContentPlaceHolder1$Grd_tot_detail$ctl08$hypOcteber','')"/>
    <hyperlink ref="L13" r:id="rId76" display="javascript:__doPostBack('ctl00$ContentPlaceHolder1$Grd_tot_detail$ctl08$hypNovember','')"/>
    <hyperlink ref="M13" r:id="rId77" display="javascript:__doPostBack('ctl00$ContentPlaceHolder1$Grd_tot_detail$ctl08$hypDecember','')"/>
    <hyperlink ref="C40" r:id="rId78" display="javascript:__doPostBack('ctl00$ContentPlaceHolder1$Grd_tot_detail$ctl09$lbtnttlsch','')"/>
    <hyperlink ref="D40" r:id="rId79" display="javascript:__doPostBack('ctl00$ContentPlaceHolder1$Grd_tot_detail$ctl09$lbtnfreezsch','')"/>
    <hyperlink ref="E40" r:id="rId80" display="javascript:__doPostBack('ctl00$ContentPlaceHolder1$Grd_tot_detail$ctl09$hypapr','')"/>
    <hyperlink ref="F40" r:id="rId81" display="javascript:__doPostBack('ctl00$ContentPlaceHolder1$Grd_tot_detail$ctl09$hypmay','')"/>
    <hyperlink ref="G40" r:id="rId82" display="javascript:__doPostBack('ctl00$ContentPlaceHolder1$Grd_tot_detail$ctl09$hypjune','')"/>
    <hyperlink ref="H40" r:id="rId83" display="javascript:__doPostBack('ctl00$ContentPlaceHolder1$Grd_tot_detail$ctl09$hypjuly','')"/>
    <hyperlink ref="I40" r:id="rId84" display="javascript:__doPostBack('ctl00$ContentPlaceHolder1$Grd_tot_detail$ctl09$hypAugust','')"/>
    <hyperlink ref="J40" r:id="rId85" display="javascript:__doPostBack('ctl00$ContentPlaceHolder1$Grd_tot_detail$ctl09$hypSeptember','')"/>
    <hyperlink ref="K40" r:id="rId86" display="javascript:__doPostBack('ctl00$ContentPlaceHolder1$Grd_tot_detail$ctl09$hypOcteber','')"/>
    <hyperlink ref="L40" r:id="rId87" display="javascript:__doPostBack('ctl00$ContentPlaceHolder1$Grd_tot_detail$ctl09$hypNovember','')"/>
    <hyperlink ref="M40" r:id="rId88" display="javascript:__doPostBack('ctl00$ContentPlaceHolder1$Grd_tot_detail$ctl09$hypDecember','')"/>
    <hyperlink ref="C25" r:id="rId89" display="javascript:__doPostBack('ctl00$ContentPlaceHolder1$Grd_tot_detail$ctl10$lbtnttlsch','')"/>
    <hyperlink ref="D25" r:id="rId90" display="javascript:__doPostBack('ctl00$ContentPlaceHolder1$Grd_tot_detail$ctl10$lbtnfreezsch','')"/>
    <hyperlink ref="E25" r:id="rId91" display="javascript:__doPostBack('ctl00$ContentPlaceHolder1$Grd_tot_detail$ctl10$hypapr','')"/>
    <hyperlink ref="F25" r:id="rId92" display="javascript:__doPostBack('ctl00$ContentPlaceHolder1$Grd_tot_detail$ctl10$hypmay','')"/>
    <hyperlink ref="G25" r:id="rId93" display="javascript:__doPostBack('ctl00$ContentPlaceHolder1$Grd_tot_detail$ctl10$hypjune','')"/>
    <hyperlink ref="H25" r:id="rId94" display="javascript:__doPostBack('ctl00$ContentPlaceHolder1$Grd_tot_detail$ctl10$hypjuly','')"/>
    <hyperlink ref="I25" r:id="rId95" display="javascript:__doPostBack('ctl00$ContentPlaceHolder1$Grd_tot_detail$ctl10$hypAugust','')"/>
    <hyperlink ref="J25" r:id="rId96" display="javascript:__doPostBack('ctl00$ContentPlaceHolder1$Grd_tot_detail$ctl10$hypSeptember','')"/>
    <hyperlink ref="K25" r:id="rId97" display="javascript:__doPostBack('ctl00$ContentPlaceHolder1$Grd_tot_detail$ctl10$hypOcteber','')"/>
    <hyperlink ref="L25" r:id="rId98" display="javascript:__doPostBack('ctl00$ContentPlaceHolder1$Grd_tot_detail$ctl10$hypNovember','')"/>
    <hyperlink ref="M25" r:id="rId99" display="javascript:__doPostBack('ctl00$ContentPlaceHolder1$Grd_tot_detail$ctl10$hypDecember','')"/>
    <hyperlink ref="C20" r:id="rId100" display="javascript:__doPostBack('ctl00$ContentPlaceHolder1$Grd_tot_detail$ctl11$lbtnttlsch','')"/>
    <hyperlink ref="D20" r:id="rId101" display="javascript:__doPostBack('ctl00$ContentPlaceHolder1$Grd_tot_detail$ctl11$lbtnfreezsch','')"/>
    <hyperlink ref="E20" r:id="rId102" display="javascript:__doPostBack('ctl00$ContentPlaceHolder1$Grd_tot_detail$ctl11$hypapr','')"/>
    <hyperlink ref="F20" r:id="rId103" display="javascript:__doPostBack('ctl00$ContentPlaceHolder1$Grd_tot_detail$ctl11$hypmay','')"/>
    <hyperlink ref="G20" r:id="rId104" display="javascript:__doPostBack('ctl00$ContentPlaceHolder1$Grd_tot_detail$ctl11$hypjune','')"/>
    <hyperlink ref="H20" r:id="rId105" display="javascript:__doPostBack('ctl00$ContentPlaceHolder1$Grd_tot_detail$ctl11$hypjuly','')"/>
    <hyperlink ref="I20" r:id="rId106" display="javascript:__doPostBack('ctl00$ContentPlaceHolder1$Grd_tot_detail$ctl11$hypAugust','')"/>
    <hyperlink ref="J20" r:id="rId107" display="javascript:__doPostBack('ctl00$ContentPlaceHolder1$Grd_tot_detail$ctl11$hypSeptember','')"/>
    <hyperlink ref="K20" r:id="rId108" display="javascript:__doPostBack('ctl00$ContentPlaceHolder1$Grd_tot_detail$ctl11$hypOcteber','')"/>
    <hyperlink ref="L20" r:id="rId109" display="javascript:__doPostBack('ctl00$ContentPlaceHolder1$Grd_tot_detail$ctl11$hypNovember','')"/>
    <hyperlink ref="M20" r:id="rId110" display="javascript:__doPostBack('ctl00$ContentPlaceHolder1$Grd_tot_detail$ctl11$hypDecember','')"/>
    <hyperlink ref="C28" r:id="rId111" display="javascript:__doPostBack('ctl00$ContentPlaceHolder1$Grd_tot_detail$ctl12$lbtnttlsch','')"/>
    <hyperlink ref="D28" r:id="rId112" display="javascript:__doPostBack('ctl00$ContentPlaceHolder1$Grd_tot_detail$ctl12$lbtnfreezsch','')"/>
    <hyperlink ref="E28" r:id="rId113" display="javascript:__doPostBack('ctl00$ContentPlaceHolder1$Grd_tot_detail$ctl12$hypapr','')"/>
    <hyperlink ref="F28" r:id="rId114" display="javascript:__doPostBack('ctl00$ContentPlaceHolder1$Grd_tot_detail$ctl12$hypmay','')"/>
    <hyperlink ref="G28" r:id="rId115" display="javascript:__doPostBack('ctl00$ContentPlaceHolder1$Grd_tot_detail$ctl12$hypjune','')"/>
    <hyperlink ref="H28" r:id="rId116" display="javascript:__doPostBack('ctl00$ContentPlaceHolder1$Grd_tot_detail$ctl12$hypjuly','')"/>
    <hyperlink ref="I28" r:id="rId117" display="javascript:__doPostBack('ctl00$ContentPlaceHolder1$Grd_tot_detail$ctl12$hypAugust','')"/>
    <hyperlink ref="J28" r:id="rId118" display="javascript:__doPostBack('ctl00$ContentPlaceHolder1$Grd_tot_detail$ctl12$hypSeptember','')"/>
    <hyperlink ref="K28" r:id="rId119" display="javascript:__doPostBack('ctl00$ContentPlaceHolder1$Grd_tot_detail$ctl12$hypOcteber','')"/>
    <hyperlink ref="L28" r:id="rId120" display="javascript:__doPostBack('ctl00$ContentPlaceHolder1$Grd_tot_detail$ctl12$hypNovember','')"/>
    <hyperlink ref="M28" r:id="rId121" display="javascript:__doPostBack('ctl00$ContentPlaceHolder1$Grd_tot_detail$ctl12$hypDecember','')"/>
    <hyperlink ref="C14" r:id="rId122" display="javascript:__doPostBack('ctl00$ContentPlaceHolder1$Grd_tot_detail$ctl13$lbtnttlsch','')"/>
    <hyperlink ref="D14" r:id="rId123" display="javascript:__doPostBack('ctl00$ContentPlaceHolder1$Grd_tot_detail$ctl13$lbtnfreezsch','')"/>
    <hyperlink ref="E14" r:id="rId124" display="javascript:__doPostBack('ctl00$ContentPlaceHolder1$Grd_tot_detail$ctl13$hypapr','')"/>
    <hyperlink ref="F14" r:id="rId125" display="javascript:__doPostBack('ctl00$ContentPlaceHolder1$Grd_tot_detail$ctl13$hypmay','')"/>
    <hyperlink ref="G14" r:id="rId126" display="javascript:__doPostBack('ctl00$ContentPlaceHolder1$Grd_tot_detail$ctl13$hypjune','')"/>
    <hyperlink ref="H14" r:id="rId127" display="javascript:__doPostBack('ctl00$ContentPlaceHolder1$Grd_tot_detail$ctl13$hypjuly','')"/>
    <hyperlink ref="I14" r:id="rId128" display="javascript:__doPostBack('ctl00$ContentPlaceHolder1$Grd_tot_detail$ctl13$hypAugust','')"/>
    <hyperlink ref="J14" r:id="rId129" display="javascript:__doPostBack('ctl00$ContentPlaceHolder1$Grd_tot_detail$ctl13$hypSeptember','')"/>
    <hyperlink ref="K14" r:id="rId130" display="javascript:__doPostBack('ctl00$ContentPlaceHolder1$Grd_tot_detail$ctl13$hypOcteber','')"/>
    <hyperlink ref="L14" r:id="rId131" display="javascript:__doPostBack('ctl00$ContentPlaceHolder1$Grd_tot_detail$ctl13$hypNovember','')"/>
    <hyperlink ref="M14" r:id="rId132" display="javascript:__doPostBack('ctl00$ContentPlaceHolder1$Grd_tot_detail$ctl13$hypDecember','')"/>
    <hyperlink ref="C29" r:id="rId133" display="javascript:__doPostBack('ctl00$ContentPlaceHolder1$Grd_tot_detail$ctl14$lbtnttlsch','')"/>
    <hyperlink ref="D29" r:id="rId134" display="javascript:__doPostBack('ctl00$ContentPlaceHolder1$Grd_tot_detail$ctl14$lbtnfreezsch','')"/>
    <hyperlink ref="E29" r:id="rId135" display="javascript:__doPostBack('ctl00$ContentPlaceHolder1$Grd_tot_detail$ctl14$hypapr','')"/>
    <hyperlink ref="F29" r:id="rId136" display="javascript:__doPostBack('ctl00$ContentPlaceHolder1$Grd_tot_detail$ctl14$hypmay','')"/>
    <hyperlink ref="G29" r:id="rId137" display="javascript:__doPostBack('ctl00$ContentPlaceHolder1$Grd_tot_detail$ctl14$hypjune','')"/>
    <hyperlink ref="H29" r:id="rId138" display="javascript:__doPostBack('ctl00$ContentPlaceHolder1$Grd_tot_detail$ctl14$hypjuly','')"/>
    <hyperlink ref="I29" r:id="rId139" display="javascript:__doPostBack('ctl00$ContentPlaceHolder1$Grd_tot_detail$ctl14$hypAugust','')"/>
    <hyperlink ref="J29" r:id="rId140" display="javascript:__doPostBack('ctl00$ContentPlaceHolder1$Grd_tot_detail$ctl14$hypSeptember','')"/>
    <hyperlink ref="K29" r:id="rId141" display="javascript:__doPostBack('ctl00$ContentPlaceHolder1$Grd_tot_detail$ctl14$hypOcteber','')"/>
    <hyperlink ref="L29" r:id="rId142" display="javascript:__doPostBack('ctl00$ContentPlaceHolder1$Grd_tot_detail$ctl14$hypNovember','')"/>
    <hyperlink ref="M29" r:id="rId143" display="javascript:__doPostBack('ctl00$ContentPlaceHolder1$Grd_tot_detail$ctl14$hypDecember','')"/>
    <hyperlink ref="C15" r:id="rId144" display="javascript:__doPostBack('ctl00$ContentPlaceHolder1$Grd_tot_detail$ctl15$lbtnttlsch','')"/>
    <hyperlink ref="D15" r:id="rId145" display="javascript:__doPostBack('ctl00$ContentPlaceHolder1$Grd_tot_detail$ctl15$lbtnfreezsch','')"/>
    <hyperlink ref="E15" r:id="rId146" display="javascript:__doPostBack('ctl00$ContentPlaceHolder1$Grd_tot_detail$ctl15$hypapr','')"/>
    <hyperlink ref="F15" r:id="rId147" display="javascript:__doPostBack('ctl00$ContentPlaceHolder1$Grd_tot_detail$ctl15$hypmay','')"/>
    <hyperlink ref="G15" r:id="rId148" display="javascript:__doPostBack('ctl00$ContentPlaceHolder1$Grd_tot_detail$ctl15$hypjune','')"/>
    <hyperlink ref="H15" r:id="rId149" display="javascript:__doPostBack('ctl00$ContentPlaceHolder1$Grd_tot_detail$ctl15$hypjuly','')"/>
    <hyperlink ref="I15" r:id="rId150" display="javascript:__doPostBack('ctl00$ContentPlaceHolder1$Grd_tot_detail$ctl15$hypAugust','')"/>
    <hyperlink ref="J15" r:id="rId151" display="javascript:__doPostBack('ctl00$ContentPlaceHolder1$Grd_tot_detail$ctl15$hypSeptember','')"/>
    <hyperlink ref="K15" r:id="rId152" display="javascript:__doPostBack('ctl00$ContentPlaceHolder1$Grd_tot_detail$ctl15$hypOcteber','')"/>
    <hyperlink ref="L15" r:id="rId153" display="javascript:__doPostBack('ctl00$ContentPlaceHolder1$Grd_tot_detail$ctl15$hypNovember','')"/>
    <hyperlink ref="M15" r:id="rId154" display="javascript:__doPostBack('ctl00$ContentPlaceHolder1$Grd_tot_detail$ctl15$hypDecember','')"/>
    <hyperlink ref="C31" r:id="rId155" display="javascript:__doPostBack('ctl00$ContentPlaceHolder1$Grd_tot_detail$ctl16$lbtnttlsch','')"/>
    <hyperlink ref="D31" r:id="rId156" display="javascript:__doPostBack('ctl00$ContentPlaceHolder1$Grd_tot_detail$ctl16$lbtnfreezsch','')"/>
    <hyperlink ref="C35" r:id="rId157" display="javascript:__doPostBack('ctl00$ContentPlaceHolder1$Grd_tot_detail$ctl17$lbtnttlsch','')"/>
    <hyperlink ref="D35" r:id="rId158" display="javascript:__doPostBack('ctl00$ContentPlaceHolder1$Grd_tot_detail$ctl17$lbtnfreezsch','')"/>
    <hyperlink ref="E35" r:id="rId159" display="javascript:__doPostBack('ctl00$ContentPlaceHolder1$Grd_tot_detail$ctl17$hypapr','')"/>
    <hyperlink ref="F35" r:id="rId160" display="javascript:__doPostBack('ctl00$ContentPlaceHolder1$Grd_tot_detail$ctl17$hypmay','')"/>
    <hyperlink ref="G35" r:id="rId161" display="javascript:__doPostBack('ctl00$ContentPlaceHolder1$Grd_tot_detail$ctl17$hypjune','')"/>
    <hyperlink ref="H35" r:id="rId162" display="javascript:__doPostBack('ctl00$ContentPlaceHolder1$Grd_tot_detail$ctl17$hypjuly','')"/>
    <hyperlink ref="I35" r:id="rId163" display="javascript:__doPostBack('ctl00$ContentPlaceHolder1$Grd_tot_detail$ctl17$hypAugust','')"/>
    <hyperlink ref="J35" r:id="rId164" display="javascript:__doPostBack('ctl00$ContentPlaceHolder1$Grd_tot_detail$ctl17$hypSeptember','')"/>
    <hyperlink ref="K35" r:id="rId165" display="javascript:__doPostBack('ctl00$ContentPlaceHolder1$Grd_tot_detail$ctl17$hypOcteber','')"/>
    <hyperlink ref="L35" r:id="rId166" display="javascript:__doPostBack('ctl00$ContentPlaceHolder1$Grd_tot_detail$ctl17$hypNovember','')"/>
    <hyperlink ref="M35" r:id="rId167" display="javascript:__doPostBack('ctl00$ContentPlaceHolder1$Grd_tot_detail$ctl17$hypDecember','')"/>
    <hyperlink ref="C27" r:id="rId168" display="javascript:__doPostBack('ctl00$ContentPlaceHolder1$Grd_tot_detail$ctl18$lbtnttlsch','')"/>
    <hyperlink ref="D27" r:id="rId169" display="javascript:__doPostBack('ctl00$ContentPlaceHolder1$Grd_tot_detail$ctl18$lbtnfreezsch','')"/>
    <hyperlink ref="E27" r:id="rId170" display="javascript:__doPostBack('ctl00$ContentPlaceHolder1$Grd_tot_detail$ctl18$hypapr','')"/>
    <hyperlink ref="F27" r:id="rId171" display="javascript:__doPostBack('ctl00$ContentPlaceHolder1$Grd_tot_detail$ctl18$hypmay','')"/>
    <hyperlink ref="G27" r:id="rId172" display="javascript:__doPostBack('ctl00$ContentPlaceHolder1$Grd_tot_detail$ctl18$hypjune','')"/>
    <hyperlink ref="H27" r:id="rId173" display="javascript:__doPostBack('ctl00$ContentPlaceHolder1$Grd_tot_detail$ctl18$hypjuly','')"/>
    <hyperlink ref="I27" r:id="rId174" display="javascript:__doPostBack('ctl00$ContentPlaceHolder1$Grd_tot_detail$ctl18$hypAugust','')"/>
    <hyperlink ref="J27" r:id="rId175" display="javascript:__doPostBack('ctl00$ContentPlaceHolder1$Grd_tot_detail$ctl18$hypSeptember','')"/>
    <hyperlink ref="K27" r:id="rId176" display="javascript:__doPostBack('ctl00$ContentPlaceHolder1$Grd_tot_detail$ctl18$hypOcteber','')"/>
    <hyperlink ref="L27" r:id="rId177" display="javascript:__doPostBack('ctl00$ContentPlaceHolder1$Grd_tot_detail$ctl18$hypNovember','')"/>
    <hyperlink ref="M27" r:id="rId178" display="javascript:__doPostBack('ctl00$ContentPlaceHolder1$Grd_tot_detail$ctl18$hypDecember','')"/>
    <hyperlink ref="C34" r:id="rId179" display="javascript:__doPostBack('ctl00$ContentPlaceHolder1$Grd_tot_detail$ctl19$lbtnttlsch','')"/>
    <hyperlink ref="D34" r:id="rId180" display="javascript:__doPostBack('ctl00$ContentPlaceHolder1$Grd_tot_detail$ctl19$lbtnfreezsch','')"/>
    <hyperlink ref="E34" r:id="rId181" display="javascript:__doPostBack('ctl00$ContentPlaceHolder1$Grd_tot_detail$ctl19$hypapr','')"/>
    <hyperlink ref="F34" r:id="rId182" display="javascript:__doPostBack('ctl00$ContentPlaceHolder1$Grd_tot_detail$ctl19$hypmay','')"/>
    <hyperlink ref="G34" r:id="rId183" display="javascript:__doPostBack('ctl00$ContentPlaceHolder1$Grd_tot_detail$ctl19$hypjune','')"/>
    <hyperlink ref="H34" r:id="rId184" display="javascript:__doPostBack('ctl00$ContentPlaceHolder1$Grd_tot_detail$ctl19$hypjuly','')"/>
    <hyperlink ref="I34" r:id="rId185" display="javascript:__doPostBack('ctl00$ContentPlaceHolder1$Grd_tot_detail$ctl19$hypAugust','')"/>
    <hyperlink ref="J34" r:id="rId186" display="javascript:__doPostBack('ctl00$ContentPlaceHolder1$Grd_tot_detail$ctl19$hypSeptember','')"/>
    <hyperlink ref="K34" r:id="rId187" display="javascript:__doPostBack('ctl00$ContentPlaceHolder1$Grd_tot_detail$ctl19$hypOcteber','')"/>
    <hyperlink ref="L34" r:id="rId188" display="javascript:__doPostBack('ctl00$ContentPlaceHolder1$Grd_tot_detail$ctl19$hypNovember','')"/>
    <hyperlink ref="M34" r:id="rId189" display="javascript:__doPostBack('ctl00$ContentPlaceHolder1$Grd_tot_detail$ctl19$hypDecember','')"/>
    <hyperlink ref="C42" r:id="rId190" display="javascript:__doPostBack('ctl00$ContentPlaceHolder1$Grd_tot_detail$ctl20$lbtnttlsch','')"/>
    <hyperlink ref="D42" r:id="rId191" display="javascript:__doPostBack('ctl00$ContentPlaceHolder1$Grd_tot_detail$ctl20$lbtnfreezsch','')"/>
    <hyperlink ref="E42" r:id="rId192" display="javascript:__doPostBack('ctl00$ContentPlaceHolder1$Grd_tot_detail$ctl20$hypapr','')"/>
    <hyperlink ref="F42" r:id="rId193" display="javascript:__doPostBack('ctl00$ContentPlaceHolder1$Grd_tot_detail$ctl20$hypmay','')"/>
    <hyperlink ref="G42" r:id="rId194" display="javascript:__doPostBack('ctl00$ContentPlaceHolder1$Grd_tot_detail$ctl20$hypjune','')"/>
    <hyperlink ref="H42" r:id="rId195" display="javascript:__doPostBack('ctl00$ContentPlaceHolder1$Grd_tot_detail$ctl20$hypjuly','')"/>
    <hyperlink ref="I42" r:id="rId196" display="javascript:__doPostBack('ctl00$ContentPlaceHolder1$Grd_tot_detail$ctl20$hypAugust','')"/>
    <hyperlink ref="J42" r:id="rId197" display="javascript:__doPostBack('ctl00$ContentPlaceHolder1$Grd_tot_detail$ctl20$hypSeptember','')"/>
    <hyperlink ref="K42" r:id="rId198" display="javascript:__doPostBack('ctl00$ContentPlaceHolder1$Grd_tot_detail$ctl20$hypOcteber','')"/>
    <hyperlink ref="L42" r:id="rId199" display="javascript:__doPostBack('ctl00$ContentPlaceHolder1$Grd_tot_detail$ctl20$hypNovember','')"/>
    <hyperlink ref="M42" r:id="rId200" display="javascript:__doPostBack('ctl00$ContentPlaceHolder1$Grd_tot_detail$ctl20$hypDecember','')"/>
    <hyperlink ref="C26" r:id="rId201" display="javascript:__doPostBack('ctl00$ContentPlaceHolder1$Grd_tot_detail$ctl21$lbtnttlsch','')"/>
    <hyperlink ref="D26" r:id="rId202" display="javascript:__doPostBack('ctl00$ContentPlaceHolder1$Grd_tot_detail$ctl21$lbtnfreezsch','')"/>
    <hyperlink ref="E26" r:id="rId203" display="javascript:__doPostBack('ctl00$ContentPlaceHolder1$Grd_tot_detail$ctl21$hypapr','')"/>
    <hyperlink ref="F26" r:id="rId204" display="javascript:__doPostBack('ctl00$ContentPlaceHolder1$Grd_tot_detail$ctl21$hypmay','')"/>
    <hyperlink ref="G26" r:id="rId205" display="javascript:__doPostBack('ctl00$ContentPlaceHolder1$Grd_tot_detail$ctl21$hypjune','')"/>
    <hyperlink ref="H26" r:id="rId206" display="javascript:__doPostBack('ctl00$ContentPlaceHolder1$Grd_tot_detail$ctl21$hypjuly','')"/>
    <hyperlink ref="I26" r:id="rId207" display="javascript:__doPostBack('ctl00$ContentPlaceHolder1$Grd_tot_detail$ctl21$hypAugust','')"/>
    <hyperlink ref="J26" r:id="rId208" display="javascript:__doPostBack('ctl00$ContentPlaceHolder1$Grd_tot_detail$ctl21$hypSeptember','')"/>
    <hyperlink ref="K26" r:id="rId209" display="javascript:__doPostBack('ctl00$ContentPlaceHolder1$Grd_tot_detail$ctl21$hypOcteber','')"/>
    <hyperlink ref="L26" r:id="rId210" display="javascript:__doPostBack('ctl00$ContentPlaceHolder1$Grd_tot_detail$ctl21$hypNovember','')"/>
    <hyperlink ref="M26" r:id="rId211" display="javascript:__doPostBack('ctl00$ContentPlaceHolder1$Grd_tot_detail$ctl21$hypDecember','')"/>
    <hyperlink ref="C19" r:id="rId212" display="javascript:__doPostBack('ctl00$ContentPlaceHolder1$Grd_tot_detail$ctl22$lbtnttlsch','')"/>
    <hyperlink ref="D19" r:id="rId213" display="javascript:__doPostBack('ctl00$ContentPlaceHolder1$Grd_tot_detail$ctl22$lbtnfreezsch','')"/>
    <hyperlink ref="E19" r:id="rId214" display="javascript:__doPostBack('ctl00$ContentPlaceHolder1$Grd_tot_detail$ctl22$hypapr','')"/>
    <hyperlink ref="F19" r:id="rId215" display="javascript:__doPostBack('ctl00$ContentPlaceHolder1$Grd_tot_detail$ctl22$hypmay','')"/>
    <hyperlink ref="G19" r:id="rId216" display="javascript:__doPostBack('ctl00$ContentPlaceHolder1$Grd_tot_detail$ctl22$hypjune','')"/>
    <hyperlink ref="H19" r:id="rId217" display="javascript:__doPostBack('ctl00$ContentPlaceHolder1$Grd_tot_detail$ctl22$hypjuly','')"/>
    <hyperlink ref="I19" r:id="rId218" display="javascript:__doPostBack('ctl00$ContentPlaceHolder1$Grd_tot_detail$ctl22$hypAugust','')"/>
    <hyperlink ref="J19" r:id="rId219" display="javascript:__doPostBack('ctl00$ContentPlaceHolder1$Grd_tot_detail$ctl22$hypSeptember','')"/>
    <hyperlink ref="K19" r:id="rId220" display="javascript:__doPostBack('ctl00$ContentPlaceHolder1$Grd_tot_detail$ctl22$hypOcteber','')"/>
    <hyperlink ref="L19" r:id="rId221" display="javascript:__doPostBack('ctl00$ContentPlaceHolder1$Grd_tot_detail$ctl22$hypNovember','')"/>
    <hyperlink ref="M19" r:id="rId222" display="javascript:__doPostBack('ctl00$ContentPlaceHolder1$Grd_tot_detail$ctl22$hypDecember','')"/>
    <hyperlink ref="C43" r:id="rId223" display="javascript:__doPostBack('ctl00$ContentPlaceHolder1$Grd_tot_detail$ctl23$lbtnttlsch','')"/>
    <hyperlink ref="D43" r:id="rId224" display="javascript:__doPostBack('ctl00$ContentPlaceHolder1$Grd_tot_detail$ctl23$lbtnfreezsch','')"/>
    <hyperlink ref="E43" r:id="rId225" display="javascript:__doPostBack('ctl00$ContentPlaceHolder1$Grd_tot_detail$ctl23$hypapr','')"/>
    <hyperlink ref="F43" r:id="rId226" display="javascript:__doPostBack('ctl00$ContentPlaceHolder1$Grd_tot_detail$ctl23$hypmay','')"/>
    <hyperlink ref="G43" r:id="rId227" display="javascript:__doPostBack('ctl00$ContentPlaceHolder1$Grd_tot_detail$ctl23$hypjune','')"/>
    <hyperlink ref="H43" r:id="rId228" display="javascript:__doPostBack('ctl00$ContentPlaceHolder1$Grd_tot_detail$ctl23$hypjuly','')"/>
    <hyperlink ref="I43" r:id="rId229" display="javascript:__doPostBack('ctl00$ContentPlaceHolder1$Grd_tot_detail$ctl23$hypAugust','')"/>
    <hyperlink ref="J43" r:id="rId230" display="javascript:__doPostBack('ctl00$ContentPlaceHolder1$Grd_tot_detail$ctl23$hypSeptember','')"/>
    <hyperlink ref="K43" r:id="rId231" display="javascript:__doPostBack('ctl00$ContentPlaceHolder1$Grd_tot_detail$ctl23$hypOcteber','')"/>
    <hyperlink ref="L43" r:id="rId232" display="javascript:__doPostBack('ctl00$ContentPlaceHolder1$Grd_tot_detail$ctl23$hypNovember','')"/>
    <hyperlink ref="M43" r:id="rId233" display="javascript:__doPostBack('ctl00$ContentPlaceHolder1$Grd_tot_detail$ctl23$hypDecember','')"/>
    <hyperlink ref="C24" r:id="rId234" display="javascript:__doPostBack('ctl00$ContentPlaceHolder1$Grd_tot_detail$ctl24$lbtnttlsch','')"/>
    <hyperlink ref="D24" r:id="rId235" display="javascript:__doPostBack('ctl00$ContentPlaceHolder1$Grd_tot_detail$ctl24$lbtnfreezsch','')"/>
    <hyperlink ref="E24" r:id="rId236" display="javascript:__doPostBack('ctl00$ContentPlaceHolder1$Grd_tot_detail$ctl24$hypapr','')"/>
    <hyperlink ref="F24" r:id="rId237" display="javascript:__doPostBack('ctl00$ContentPlaceHolder1$Grd_tot_detail$ctl24$hypmay','')"/>
    <hyperlink ref="G24" r:id="rId238" display="javascript:__doPostBack('ctl00$ContentPlaceHolder1$Grd_tot_detail$ctl24$hypjune','')"/>
    <hyperlink ref="H24" r:id="rId239" display="javascript:__doPostBack('ctl00$ContentPlaceHolder1$Grd_tot_detail$ctl24$hypjuly','')"/>
    <hyperlink ref="I24" r:id="rId240" display="javascript:__doPostBack('ctl00$ContentPlaceHolder1$Grd_tot_detail$ctl24$hypAugust','')"/>
    <hyperlink ref="J24" r:id="rId241" display="javascript:__doPostBack('ctl00$ContentPlaceHolder1$Grd_tot_detail$ctl24$hypSeptember','')"/>
    <hyperlink ref="K24" r:id="rId242" display="javascript:__doPostBack('ctl00$ContentPlaceHolder1$Grd_tot_detail$ctl24$hypOcteber','')"/>
    <hyperlink ref="L24" r:id="rId243" display="javascript:__doPostBack('ctl00$ContentPlaceHolder1$Grd_tot_detail$ctl24$hypNovember','')"/>
    <hyperlink ref="M24" r:id="rId244" display="javascript:__doPostBack('ctl00$ContentPlaceHolder1$Grd_tot_detail$ctl24$hypDecember','')"/>
    <hyperlink ref="C23" r:id="rId245" display="javascript:__doPostBack('ctl00$ContentPlaceHolder1$Grd_tot_detail$ctl25$lbtnttlsch','')"/>
    <hyperlink ref="D23" r:id="rId246" display="javascript:__doPostBack('ctl00$ContentPlaceHolder1$Grd_tot_detail$ctl25$lbtnfreezsch','')"/>
    <hyperlink ref="E23" r:id="rId247" display="javascript:__doPostBack('ctl00$ContentPlaceHolder1$Grd_tot_detail$ctl25$hypapr','')"/>
    <hyperlink ref="F23" r:id="rId248" display="javascript:__doPostBack('ctl00$ContentPlaceHolder1$Grd_tot_detail$ctl25$hypmay','')"/>
    <hyperlink ref="G23" r:id="rId249" display="javascript:__doPostBack('ctl00$ContentPlaceHolder1$Grd_tot_detail$ctl25$hypjune','')"/>
    <hyperlink ref="H23" r:id="rId250" display="javascript:__doPostBack('ctl00$ContentPlaceHolder1$Grd_tot_detail$ctl25$hypjuly','')"/>
    <hyperlink ref="I23" r:id="rId251" display="javascript:__doPostBack('ctl00$ContentPlaceHolder1$Grd_tot_detail$ctl25$hypAugust','')"/>
    <hyperlink ref="J23" r:id="rId252" display="javascript:__doPostBack('ctl00$ContentPlaceHolder1$Grd_tot_detail$ctl25$hypSeptember','')"/>
    <hyperlink ref="K23" r:id="rId253" display="javascript:__doPostBack('ctl00$ContentPlaceHolder1$Grd_tot_detail$ctl25$hypOcteber','')"/>
    <hyperlink ref="L23" r:id="rId254" display="javascript:__doPostBack('ctl00$ContentPlaceHolder1$Grd_tot_detail$ctl25$hypNovember','')"/>
    <hyperlink ref="M23" r:id="rId255" display="javascript:__doPostBack('ctl00$ContentPlaceHolder1$Grd_tot_detail$ctl25$hypDecember','')"/>
    <hyperlink ref="C44" r:id="rId256" display="javascript:__doPostBack('ctl00$ContentPlaceHolder1$Grd_tot_detail$ctl26$lbtnttlsch','')"/>
    <hyperlink ref="D44" r:id="rId257" display="javascript:__doPostBack('ctl00$ContentPlaceHolder1$Grd_tot_detail$ctl26$lbtnfreezsch','')"/>
    <hyperlink ref="E44" r:id="rId258" display="javascript:__doPostBack('ctl00$ContentPlaceHolder1$Grd_tot_detail$ctl26$hypapr','')"/>
    <hyperlink ref="F44" r:id="rId259" display="javascript:__doPostBack('ctl00$ContentPlaceHolder1$Grd_tot_detail$ctl26$hypmay','')"/>
    <hyperlink ref="G44" r:id="rId260" display="javascript:__doPostBack('ctl00$ContentPlaceHolder1$Grd_tot_detail$ctl26$hypjune','')"/>
    <hyperlink ref="H44" r:id="rId261" display="javascript:__doPostBack('ctl00$ContentPlaceHolder1$Grd_tot_detail$ctl26$hypjuly','')"/>
    <hyperlink ref="I44" r:id="rId262" display="javascript:__doPostBack('ctl00$ContentPlaceHolder1$Grd_tot_detail$ctl26$hypAugust','')"/>
    <hyperlink ref="J44" r:id="rId263" display="javascript:__doPostBack('ctl00$ContentPlaceHolder1$Grd_tot_detail$ctl26$hypSeptember','')"/>
    <hyperlink ref="K44" r:id="rId264" display="javascript:__doPostBack('ctl00$ContentPlaceHolder1$Grd_tot_detail$ctl26$hypOcteber','')"/>
    <hyperlink ref="L44" r:id="rId265" display="javascript:__doPostBack('ctl00$ContentPlaceHolder1$Grd_tot_detail$ctl26$hypNovember','')"/>
    <hyperlink ref="M44" r:id="rId266" display="javascript:__doPostBack('ctl00$ContentPlaceHolder1$Grd_tot_detail$ctl26$hypDecember','')"/>
    <hyperlink ref="C18" r:id="rId267" display="javascript:__doPostBack('ctl00$ContentPlaceHolder1$Grd_tot_detail$ctl27$lbtnttlsch','')"/>
    <hyperlink ref="D18" r:id="rId268" display="javascript:__doPostBack('ctl00$ContentPlaceHolder1$Grd_tot_detail$ctl27$lbtnfreezsch','')"/>
    <hyperlink ref="E18" r:id="rId269" display="javascript:__doPostBack('ctl00$ContentPlaceHolder1$Grd_tot_detail$ctl27$hypapr','')"/>
    <hyperlink ref="F18" r:id="rId270" display="javascript:__doPostBack('ctl00$ContentPlaceHolder1$Grd_tot_detail$ctl27$hypmay','')"/>
    <hyperlink ref="G18" r:id="rId271" display="javascript:__doPostBack('ctl00$ContentPlaceHolder1$Grd_tot_detail$ctl27$hypjune','')"/>
    <hyperlink ref="H18" r:id="rId272" display="javascript:__doPostBack('ctl00$ContentPlaceHolder1$Grd_tot_detail$ctl27$hypjuly','')"/>
    <hyperlink ref="I18" r:id="rId273" display="javascript:__doPostBack('ctl00$ContentPlaceHolder1$Grd_tot_detail$ctl27$hypAugust','')"/>
    <hyperlink ref="J18" r:id="rId274" display="javascript:__doPostBack('ctl00$ContentPlaceHolder1$Grd_tot_detail$ctl27$hypSeptember','')"/>
    <hyperlink ref="K18" r:id="rId275" display="javascript:__doPostBack('ctl00$ContentPlaceHolder1$Grd_tot_detail$ctl27$hypOcteber','')"/>
    <hyperlink ref="L18" r:id="rId276" display="javascript:__doPostBack('ctl00$ContentPlaceHolder1$Grd_tot_detail$ctl27$hypNovember','')"/>
    <hyperlink ref="M18" r:id="rId277" display="javascript:__doPostBack('ctl00$ContentPlaceHolder1$Grd_tot_detail$ctl27$hypDecember','')"/>
    <hyperlink ref="C16" r:id="rId278" display="javascript:__doPostBack('ctl00$ContentPlaceHolder1$Grd_tot_detail$ctl28$lbtnttlsch','')"/>
    <hyperlink ref="D16" r:id="rId279" display="javascript:__doPostBack('ctl00$ContentPlaceHolder1$Grd_tot_detail$ctl28$lbtnfreezsch','')"/>
    <hyperlink ref="E16" r:id="rId280" display="javascript:__doPostBack('ctl00$ContentPlaceHolder1$Grd_tot_detail$ctl28$hypapr','')"/>
    <hyperlink ref="F16" r:id="rId281" display="javascript:__doPostBack('ctl00$ContentPlaceHolder1$Grd_tot_detail$ctl28$hypmay','')"/>
    <hyperlink ref="G16" r:id="rId282" display="javascript:__doPostBack('ctl00$ContentPlaceHolder1$Grd_tot_detail$ctl28$hypjune','')"/>
    <hyperlink ref="H16" r:id="rId283" display="javascript:__doPostBack('ctl00$ContentPlaceHolder1$Grd_tot_detail$ctl28$hypjuly','')"/>
    <hyperlink ref="I16" r:id="rId284" display="javascript:__doPostBack('ctl00$ContentPlaceHolder1$Grd_tot_detail$ctl28$hypAugust','')"/>
    <hyperlink ref="J16" r:id="rId285" display="javascript:__doPostBack('ctl00$ContentPlaceHolder1$Grd_tot_detail$ctl28$hypSeptember','')"/>
    <hyperlink ref="K16" r:id="rId286" display="javascript:__doPostBack('ctl00$ContentPlaceHolder1$Grd_tot_detail$ctl28$hypOcteber','')"/>
    <hyperlink ref="L16" r:id="rId287" display="javascript:__doPostBack('ctl00$ContentPlaceHolder1$Grd_tot_detail$ctl28$hypNovember','')"/>
    <hyperlink ref="M16" r:id="rId288" display="javascript:__doPostBack('ctl00$ContentPlaceHolder1$Grd_tot_detail$ctl28$hypDecember','')"/>
    <hyperlink ref="C22" r:id="rId289" display="javascript:__doPostBack('ctl00$ContentPlaceHolder1$Grd_tot_detail$ctl29$lbtnttlsch','')"/>
    <hyperlink ref="D22" r:id="rId290" display="javascript:__doPostBack('ctl00$ContentPlaceHolder1$Grd_tot_detail$ctl29$lbtnfreezsch','')"/>
    <hyperlink ref="E22" r:id="rId291" display="javascript:__doPostBack('ctl00$ContentPlaceHolder1$Grd_tot_detail$ctl29$hypapr','')"/>
    <hyperlink ref="F22" r:id="rId292" display="javascript:__doPostBack('ctl00$ContentPlaceHolder1$Grd_tot_detail$ctl29$hypmay','')"/>
    <hyperlink ref="G22" r:id="rId293" display="javascript:__doPostBack('ctl00$ContentPlaceHolder1$Grd_tot_detail$ctl29$hypjune','')"/>
    <hyperlink ref="H22" r:id="rId294" display="javascript:__doPostBack('ctl00$ContentPlaceHolder1$Grd_tot_detail$ctl29$hypjuly','')"/>
    <hyperlink ref="I22" r:id="rId295" display="javascript:__doPostBack('ctl00$ContentPlaceHolder1$Grd_tot_detail$ctl29$hypAugust','')"/>
    <hyperlink ref="J22" r:id="rId296" display="javascript:__doPostBack('ctl00$ContentPlaceHolder1$Grd_tot_detail$ctl29$hypSeptember','')"/>
    <hyperlink ref="K22" r:id="rId297" display="javascript:__doPostBack('ctl00$ContentPlaceHolder1$Grd_tot_detail$ctl29$hypOcteber','')"/>
    <hyperlink ref="L22" r:id="rId298" display="javascript:__doPostBack('ctl00$ContentPlaceHolder1$Grd_tot_detail$ctl29$hypNovember','')"/>
    <hyperlink ref="M22" r:id="rId299" display="javascript:__doPostBack('ctl00$ContentPlaceHolder1$Grd_tot_detail$ctl29$hypDecember','')"/>
    <hyperlink ref="C21" r:id="rId300" display="javascript:__doPostBack('ctl00$ContentPlaceHolder1$Grd_tot_detail$ctl30$lbtnttlsch','')"/>
    <hyperlink ref="D21" r:id="rId301" display="javascript:__doPostBack('ctl00$ContentPlaceHolder1$Grd_tot_detail$ctl30$lbtnfreezsch','')"/>
    <hyperlink ref="E21" r:id="rId302" display="javascript:__doPostBack('ctl00$ContentPlaceHolder1$Grd_tot_detail$ctl30$hypapr','')"/>
    <hyperlink ref="F21" r:id="rId303" display="javascript:__doPostBack('ctl00$ContentPlaceHolder1$Grd_tot_detail$ctl30$hypmay','')"/>
    <hyperlink ref="G21" r:id="rId304" display="javascript:__doPostBack('ctl00$ContentPlaceHolder1$Grd_tot_detail$ctl30$hypjune','')"/>
    <hyperlink ref="H21" r:id="rId305" display="javascript:__doPostBack('ctl00$ContentPlaceHolder1$Grd_tot_detail$ctl30$hypjuly','')"/>
    <hyperlink ref="I21" r:id="rId306" display="javascript:__doPostBack('ctl00$ContentPlaceHolder1$Grd_tot_detail$ctl30$hypAugust','')"/>
    <hyperlink ref="J21" r:id="rId307" display="javascript:__doPostBack('ctl00$ContentPlaceHolder1$Grd_tot_detail$ctl30$hypSeptember','')"/>
    <hyperlink ref="K21" r:id="rId308" display="javascript:__doPostBack('ctl00$ContentPlaceHolder1$Grd_tot_detail$ctl30$hypOcteber','')"/>
    <hyperlink ref="L21" r:id="rId309" display="javascript:__doPostBack('ctl00$ContentPlaceHolder1$Grd_tot_detail$ctl30$hypNovember','')"/>
    <hyperlink ref="M21" r:id="rId310" display="javascript:__doPostBack('ctl00$ContentPlaceHolder1$Grd_tot_detail$ctl30$hypDecember','')"/>
    <hyperlink ref="C30" r:id="rId311" display="javascript:__doPostBack('ctl00$ContentPlaceHolder1$Grd_tot_detail$ctl31$lbtnttlsch','')"/>
    <hyperlink ref="D30" r:id="rId312" display="javascript:__doPostBack('ctl00$ContentPlaceHolder1$Grd_tot_detail$ctl31$lbtnfreezsch','')"/>
    <hyperlink ref="E30" r:id="rId313" display="javascript:__doPostBack('ctl00$ContentPlaceHolder1$Grd_tot_detail$ctl31$hypapr','')"/>
    <hyperlink ref="F30" r:id="rId314" display="javascript:__doPostBack('ctl00$ContentPlaceHolder1$Grd_tot_detail$ctl31$hypmay','')"/>
    <hyperlink ref="G30" r:id="rId315" display="javascript:__doPostBack('ctl00$ContentPlaceHolder1$Grd_tot_detail$ctl31$hypjune','')"/>
    <hyperlink ref="H30" r:id="rId316" display="javascript:__doPostBack('ctl00$ContentPlaceHolder1$Grd_tot_detail$ctl31$hypjuly','')"/>
    <hyperlink ref="I30" r:id="rId317" display="javascript:__doPostBack('ctl00$ContentPlaceHolder1$Grd_tot_detail$ctl31$hypAugust','')"/>
    <hyperlink ref="J30" r:id="rId318" display="javascript:__doPostBack('ctl00$ContentPlaceHolder1$Grd_tot_detail$ctl31$hypSeptember','')"/>
    <hyperlink ref="K30" r:id="rId319" display="javascript:__doPostBack('ctl00$ContentPlaceHolder1$Grd_tot_detail$ctl31$hypOcteber','')"/>
    <hyperlink ref="L30" r:id="rId320" display="javascript:__doPostBack('ctl00$ContentPlaceHolder1$Grd_tot_detail$ctl31$hypNovember','')"/>
    <hyperlink ref="M30" r:id="rId321" display="javascript:__doPostBack('ctl00$ContentPlaceHolder1$Grd_tot_detail$ctl31$hypDecember','')"/>
    <hyperlink ref="C33" r:id="rId322" display="javascript:__doPostBack('ctl00$ContentPlaceHolder1$Grd_tot_detail$ctl32$lbtnttlsch','')"/>
    <hyperlink ref="D33" r:id="rId323" display="javascript:__doPostBack('ctl00$ContentPlaceHolder1$Grd_tot_detail$ctl32$lbtnfreezsch','')"/>
    <hyperlink ref="E33" r:id="rId324" display="javascript:__doPostBack('ctl00$ContentPlaceHolder1$Grd_tot_detail$ctl32$hypapr','')"/>
    <hyperlink ref="F33" r:id="rId325" display="javascript:__doPostBack('ctl00$ContentPlaceHolder1$Grd_tot_detail$ctl32$hypmay','')"/>
    <hyperlink ref="G33" r:id="rId326" display="javascript:__doPostBack('ctl00$ContentPlaceHolder1$Grd_tot_detail$ctl32$hypjune','')"/>
    <hyperlink ref="H33" r:id="rId327" display="javascript:__doPostBack('ctl00$ContentPlaceHolder1$Grd_tot_detail$ctl32$hypjuly','')"/>
    <hyperlink ref="I33" r:id="rId328" display="javascript:__doPostBack('ctl00$ContentPlaceHolder1$Grd_tot_detail$ctl32$hypAugust','')"/>
    <hyperlink ref="J33" r:id="rId329" display="javascript:__doPostBack('ctl00$ContentPlaceHolder1$Grd_tot_detail$ctl32$hypSeptember','')"/>
    <hyperlink ref="K33" r:id="rId330" display="javascript:__doPostBack('ctl00$ContentPlaceHolder1$Grd_tot_detail$ctl32$hypOcteber','')"/>
    <hyperlink ref="L33" r:id="rId331" display="javascript:__doPostBack('ctl00$ContentPlaceHolder1$Grd_tot_detail$ctl32$hypNovember','')"/>
    <hyperlink ref="M33" r:id="rId332" display="javascript:__doPostBack('ctl00$ContentPlaceHolder1$Grd_tot_detail$ctl32$hypDecember','')"/>
    <hyperlink ref="C32" r:id="rId333" display="javascript:__doPostBack('ctl00$ContentPlaceHolder1$Grd_tot_detail$ctl33$lbtnttlsch','')"/>
    <hyperlink ref="D32" r:id="rId334" display="javascript:__doPostBack('ctl00$ContentPlaceHolder1$Grd_tot_detail$ctl33$lbtnfreezsch','')"/>
    <hyperlink ref="E32" r:id="rId335" display="javascript:__doPostBack('ctl00$ContentPlaceHolder1$Grd_tot_detail$ctl33$hypapr','')"/>
    <hyperlink ref="F32" r:id="rId336" display="javascript:__doPostBack('ctl00$ContentPlaceHolder1$Grd_tot_detail$ctl33$hypmay','')"/>
    <hyperlink ref="G32" r:id="rId337" display="javascript:__doPostBack('ctl00$ContentPlaceHolder1$Grd_tot_detail$ctl33$hypjune','')"/>
    <hyperlink ref="H32" r:id="rId338" display="javascript:__doPostBack('ctl00$ContentPlaceHolder1$Grd_tot_detail$ctl33$hypjuly','')"/>
    <hyperlink ref="I32" r:id="rId339" display="javascript:__doPostBack('ctl00$ContentPlaceHolder1$Grd_tot_detail$ctl33$hypAugust','')"/>
    <hyperlink ref="J32" r:id="rId340" display="javascript:__doPostBack('ctl00$ContentPlaceHolder1$Grd_tot_detail$ctl33$hypSeptember','')"/>
    <hyperlink ref="K32" r:id="rId341" display="javascript:__doPostBack('ctl00$ContentPlaceHolder1$Grd_tot_detail$ctl33$hypOcteber','')"/>
    <hyperlink ref="L32" r:id="rId342" display="javascript:__doPostBack('ctl00$ContentPlaceHolder1$Grd_tot_detail$ctl33$hypNovember','')"/>
    <hyperlink ref="M32" r:id="rId343" display="javascript:__doPostBack('ctl00$ContentPlaceHolder1$Grd_tot_detail$ctl33$hypDecember','')"/>
    <hyperlink ref="C39" r:id="rId344" display="javascript:__doPostBack('ctl00$ContentPlaceHolder1$Grd_tot_detail$ctl34$lbtnttlsch','')"/>
    <hyperlink ref="D39" r:id="rId345" display="javascript:__doPostBack('ctl00$ContentPlaceHolder1$Grd_tot_detail$ctl34$lbtnfreezsch','')"/>
    <hyperlink ref="E39" r:id="rId346" display="javascript:__doPostBack('ctl00$ContentPlaceHolder1$Grd_tot_detail$ctl34$hypapr','')"/>
    <hyperlink ref="F39" r:id="rId347" display="javascript:__doPostBack('ctl00$ContentPlaceHolder1$Grd_tot_detail$ctl34$hypmay','')"/>
    <hyperlink ref="G39" r:id="rId348" display="javascript:__doPostBack('ctl00$ContentPlaceHolder1$Grd_tot_detail$ctl34$hypjune','')"/>
    <hyperlink ref="H39" r:id="rId349" display="javascript:__doPostBack('ctl00$ContentPlaceHolder1$Grd_tot_detail$ctl34$hypjuly','')"/>
    <hyperlink ref="I39" r:id="rId350" display="javascript:__doPostBack('ctl00$ContentPlaceHolder1$Grd_tot_detail$ctl34$hypAugust','')"/>
    <hyperlink ref="J39" r:id="rId351" display="javascript:__doPostBack('ctl00$ContentPlaceHolder1$Grd_tot_detail$ctl34$hypSeptember','')"/>
    <hyperlink ref="K39" r:id="rId352" display="javascript:__doPostBack('ctl00$ContentPlaceHolder1$Grd_tot_detail$ctl34$hypOcteber','')"/>
    <hyperlink ref="L39" r:id="rId353" display="javascript:__doPostBack('ctl00$ContentPlaceHolder1$Grd_tot_detail$ctl34$hypNovember','')"/>
    <hyperlink ref="M39" r:id="rId354" display="javascript:__doPostBack('ctl00$ContentPlaceHolder1$Grd_tot_detail$ctl34$hypDecember','')"/>
    <hyperlink ref="C45" r:id="rId355" display="javascript:__doPostBack('ctl00$ContentPlaceHolder1$Grd_tot_detail$ctl35$lbtnttlsch','')"/>
    <hyperlink ref="D45" r:id="rId356" display="javascript:__doPostBack('ctl00$ContentPlaceHolder1$Grd_tot_detail$ctl35$lbtnfreezsch','')"/>
    <hyperlink ref="E45" r:id="rId357" display="javascript:__doPostBack('ctl00$ContentPlaceHolder1$Grd_tot_detail$ctl35$hypapr','')"/>
    <hyperlink ref="F45" r:id="rId358" display="javascript:__doPostBack('ctl00$ContentPlaceHolder1$Grd_tot_detail$ctl35$hypmay','')"/>
    <hyperlink ref="G45" r:id="rId359" display="javascript:__doPostBack('ctl00$ContentPlaceHolder1$Grd_tot_detail$ctl35$hypjune','')"/>
    <hyperlink ref="H45" r:id="rId360" display="javascript:__doPostBack('ctl00$ContentPlaceHolder1$Grd_tot_detail$ctl35$hypjuly','')"/>
    <hyperlink ref="I45" r:id="rId361" display="javascript:__doPostBack('ctl00$ContentPlaceHolder1$Grd_tot_detail$ctl35$hypAugust','')"/>
    <hyperlink ref="J45" r:id="rId362" display="javascript:__doPostBack('ctl00$ContentPlaceHolder1$Grd_tot_detail$ctl35$hypSeptember','')"/>
    <hyperlink ref="K45" r:id="rId363" display="javascript:__doPostBack('ctl00$ContentPlaceHolder1$Grd_tot_detail$ctl35$hypOcteber','')"/>
    <hyperlink ref="L45" r:id="rId364" display="javascript:__doPostBack('ctl00$ContentPlaceHolder1$Grd_tot_detail$ctl35$hypNovember','')"/>
    <hyperlink ref="M45" r:id="rId365" display="javascript:__doPostBack('ctl00$ContentPlaceHolder1$Grd_tot_detail$ctl35$hypDecember','')"/>
  </hyperlinks>
  <printOptions horizontalCentered="1"/>
  <pageMargins left="0.70866141732283472" right="0.70866141732283472" top="0.23622047244094491" bottom="0" header="0.31496062992125984" footer="0.31496062992125984"/>
  <pageSetup paperSize="9" scale="83" orientation="landscape" r:id="rId366"/>
  <drawing r:id="rId367"/>
</worksheet>
</file>

<file path=xl/worksheets/sheet52.xml><?xml version="1.0" encoding="utf-8"?>
<worksheet xmlns="http://schemas.openxmlformats.org/spreadsheetml/2006/main" xmlns:r="http://schemas.openxmlformats.org/officeDocument/2006/relationships">
  <sheetPr codeName="Sheet52">
    <pageSetUpPr fitToPage="1"/>
  </sheetPr>
  <dimension ref="A1:O56"/>
  <sheetViews>
    <sheetView topLeftCell="A19" zoomScaleSheetLayoutView="90" workbookViewId="0">
      <selection activeCell="C37" sqref="C37:L37"/>
    </sheetView>
  </sheetViews>
  <sheetFormatPr defaultRowHeight="12.75"/>
  <cols>
    <col min="1" max="1" width="8.5703125" style="204" customWidth="1"/>
    <col min="2" max="2" width="17.85546875" style="204" customWidth="1"/>
    <col min="3" max="3" width="11.140625" style="204" customWidth="1"/>
    <col min="4" max="5" width="9.140625" style="204" customWidth="1"/>
    <col min="6" max="6" width="7.85546875" style="204" customWidth="1"/>
    <col min="7" max="7" width="8.42578125" style="204" customWidth="1"/>
    <col min="8" max="8" width="9.28515625" style="204" customWidth="1"/>
    <col min="9" max="9" width="10.28515625" style="204" customWidth="1"/>
    <col min="10" max="10" width="9.140625" style="204" customWidth="1"/>
    <col min="11" max="11" width="10.140625" style="204" customWidth="1"/>
    <col min="12" max="12" width="11" style="204" customWidth="1"/>
    <col min="13" max="16384" width="9.140625" style="204"/>
  </cols>
  <sheetData>
    <row r="1" spans="1:12">
      <c r="G1" s="897"/>
      <c r="H1" s="897"/>
      <c r="K1" s="1096" t="s">
        <v>548</v>
      </c>
      <c r="L1" s="1096"/>
    </row>
    <row r="2" spans="1:12">
      <c r="C2" s="897" t="s">
        <v>635</v>
      </c>
      <c r="D2" s="897"/>
      <c r="E2" s="897"/>
      <c r="F2" s="897"/>
      <c r="G2" s="897"/>
      <c r="H2" s="897"/>
      <c r="I2" s="897"/>
      <c r="K2" s="207"/>
    </row>
    <row r="3" spans="1:12" s="208" customFormat="1" ht="15.75">
      <c r="A3" s="1092" t="s">
        <v>749</v>
      </c>
      <c r="B3" s="1092"/>
      <c r="C3" s="1092"/>
      <c r="D3" s="1092"/>
      <c r="E3" s="1092"/>
      <c r="F3" s="1092"/>
      <c r="G3" s="1092"/>
      <c r="H3" s="1092"/>
      <c r="I3" s="1092"/>
      <c r="J3" s="1092"/>
      <c r="K3" s="1092"/>
      <c r="L3" s="1092"/>
    </row>
    <row r="4" spans="1:12" s="208" customFormat="1" ht="20.25" customHeight="1">
      <c r="A4" s="1092" t="s">
        <v>822</v>
      </c>
      <c r="B4" s="1092"/>
      <c r="C4" s="1092"/>
      <c r="D4" s="1092"/>
      <c r="E4" s="1092"/>
      <c r="F4" s="1092"/>
      <c r="G4" s="1092"/>
      <c r="H4" s="1092"/>
      <c r="I4" s="1092"/>
      <c r="J4" s="1092"/>
      <c r="K4" s="1092"/>
      <c r="L4" s="1092"/>
    </row>
    <row r="6" spans="1:12">
      <c r="A6" s="209" t="s">
        <v>162</v>
      </c>
      <c r="B6" s="210"/>
      <c r="C6" s="211"/>
      <c r="D6" s="211"/>
      <c r="E6" s="211"/>
      <c r="F6" s="211"/>
      <c r="G6" s="211"/>
      <c r="H6" s="211"/>
      <c r="I6" s="211"/>
    </row>
    <row r="7" spans="1:12">
      <c r="A7" s="209"/>
      <c r="B7" s="211"/>
      <c r="C7" s="211"/>
      <c r="D7" s="211"/>
      <c r="E7" s="211"/>
      <c r="F7" s="211"/>
      <c r="G7" s="211"/>
      <c r="H7" s="211"/>
      <c r="I7" s="211"/>
    </row>
    <row r="8" spans="1:12">
      <c r="A8" s="209"/>
      <c r="B8" s="211"/>
      <c r="C8" s="211"/>
      <c r="D8" s="211"/>
      <c r="E8" s="211"/>
      <c r="F8" s="211"/>
      <c r="G8" s="211"/>
      <c r="H8" s="211"/>
      <c r="I8" s="211"/>
    </row>
    <row r="9" spans="1:12">
      <c r="A9" s="1095" t="s">
        <v>709</v>
      </c>
      <c r="B9" s="1095"/>
      <c r="C9" s="1095"/>
      <c r="D9" s="1095"/>
      <c r="E9" s="1095"/>
      <c r="F9" s="216"/>
      <c r="G9" s="211"/>
      <c r="H9" s="211"/>
      <c r="I9" s="211"/>
    </row>
    <row r="10" spans="1:12">
      <c r="A10" s="1095" t="s">
        <v>710</v>
      </c>
      <c r="B10" s="1095"/>
      <c r="C10" s="1095"/>
      <c r="D10" s="1095"/>
      <c r="E10" s="1095"/>
      <c r="F10" s="216"/>
      <c r="G10" s="211"/>
      <c r="H10" s="211"/>
      <c r="I10" s="211"/>
    </row>
    <row r="12" spans="1:12" s="212" customFormat="1" ht="15" customHeight="1">
      <c r="A12" s="204"/>
      <c r="B12" s="204"/>
      <c r="C12" s="204"/>
      <c r="D12" s="204"/>
      <c r="E12" s="204"/>
      <c r="F12" s="204"/>
      <c r="G12" s="204"/>
      <c r="H12" s="204"/>
      <c r="I12" s="204"/>
      <c r="J12" s="916" t="s">
        <v>831</v>
      </c>
      <c r="K12" s="916"/>
      <c r="L12" s="916"/>
    </row>
    <row r="13" spans="1:12" s="212" customFormat="1" ht="20.25" customHeight="1">
      <c r="A13" s="1097" t="s">
        <v>74</v>
      </c>
      <c r="B13" s="1097" t="s">
        <v>3</v>
      </c>
      <c r="C13" s="1099" t="s">
        <v>269</v>
      </c>
      <c r="D13" s="1101" t="s">
        <v>659</v>
      </c>
      <c r="E13" s="1101"/>
      <c r="F13" s="1101"/>
      <c r="G13" s="1101"/>
      <c r="H13" s="1101"/>
      <c r="I13" s="1101"/>
      <c r="J13" s="1101"/>
      <c r="K13" s="1101"/>
      <c r="L13" s="1101"/>
    </row>
    <row r="14" spans="1:12" s="212" customFormat="1" ht="35.25" customHeight="1">
      <c r="A14" s="1098"/>
      <c r="B14" s="1098"/>
      <c r="C14" s="1100"/>
      <c r="D14" s="720" t="s">
        <v>827</v>
      </c>
      <c r="E14" s="720" t="s">
        <v>272</v>
      </c>
      <c r="F14" s="720" t="s">
        <v>273</v>
      </c>
      <c r="G14" s="720" t="s">
        <v>274</v>
      </c>
      <c r="H14" s="720" t="s">
        <v>275</v>
      </c>
      <c r="I14" s="720" t="s">
        <v>276</v>
      </c>
      <c r="J14" s="720" t="s">
        <v>277</v>
      </c>
      <c r="K14" s="720" t="s">
        <v>278</v>
      </c>
      <c r="L14" s="720" t="s">
        <v>828</v>
      </c>
    </row>
    <row r="15" spans="1:12" s="212" customFormat="1" ht="12.75" customHeight="1">
      <c r="A15" s="721">
        <v>1</v>
      </c>
      <c r="B15" s="721">
        <v>2</v>
      </c>
      <c r="C15" s="721">
        <v>3</v>
      </c>
      <c r="D15" s="721">
        <v>4</v>
      </c>
      <c r="E15" s="721">
        <v>5</v>
      </c>
      <c r="F15" s="721">
        <v>6</v>
      </c>
      <c r="G15" s="721">
        <v>7</v>
      </c>
      <c r="H15" s="721">
        <v>8</v>
      </c>
      <c r="I15" s="721">
        <v>9</v>
      </c>
      <c r="J15" s="721">
        <v>10</v>
      </c>
      <c r="K15" s="721">
        <v>11</v>
      </c>
      <c r="L15" s="721">
        <v>12</v>
      </c>
    </row>
    <row r="16" spans="1:12" s="212" customFormat="1" ht="12.75" customHeight="1">
      <c r="A16" s="722">
        <v>1</v>
      </c>
      <c r="B16" s="723" t="s">
        <v>912</v>
      </c>
      <c r="C16" s="716">
        <v>844</v>
      </c>
      <c r="D16" s="717">
        <v>382</v>
      </c>
      <c r="E16" s="717">
        <v>279</v>
      </c>
      <c r="F16" s="717">
        <v>367</v>
      </c>
      <c r="G16" s="717">
        <v>550</v>
      </c>
      <c r="H16" s="717">
        <v>514</v>
      </c>
      <c r="I16" s="717">
        <v>550</v>
      </c>
      <c r="J16" s="717">
        <v>468</v>
      </c>
      <c r="K16" s="717">
        <v>792</v>
      </c>
      <c r="L16" s="717">
        <v>383</v>
      </c>
    </row>
    <row r="17" spans="1:12" s="212" customFormat="1" ht="12.75" customHeight="1">
      <c r="A17" s="722">
        <v>2</v>
      </c>
      <c r="B17" s="723" t="s">
        <v>913</v>
      </c>
      <c r="C17" s="716">
        <v>1284</v>
      </c>
      <c r="D17" s="717">
        <v>654</v>
      </c>
      <c r="E17" s="717">
        <v>592</v>
      </c>
      <c r="F17" s="717">
        <v>652</v>
      </c>
      <c r="G17" s="717">
        <v>873</v>
      </c>
      <c r="H17" s="717">
        <v>885</v>
      </c>
      <c r="I17" s="717">
        <v>930</v>
      </c>
      <c r="J17" s="717">
        <v>690</v>
      </c>
      <c r="K17" s="717">
        <v>325</v>
      </c>
      <c r="L17" s="717">
        <v>809</v>
      </c>
    </row>
    <row r="18" spans="1:12" s="212" customFormat="1" ht="12.75" customHeight="1">
      <c r="A18" s="722">
        <v>3</v>
      </c>
      <c r="B18" s="723" t="s">
        <v>914</v>
      </c>
      <c r="C18" s="716">
        <v>2033</v>
      </c>
      <c r="D18" s="717">
        <v>1494</v>
      </c>
      <c r="E18" s="717">
        <v>1347</v>
      </c>
      <c r="F18" s="717">
        <v>1849</v>
      </c>
      <c r="G18" s="717">
        <v>1712</v>
      </c>
      <c r="H18" s="717">
        <v>1704</v>
      </c>
      <c r="I18" s="717">
        <v>1615</v>
      </c>
      <c r="J18" s="717">
        <v>903</v>
      </c>
      <c r="K18" s="717">
        <v>1814</v>
      </c>
      <c r="L18" s="717">
        <v>1816</v>
      </c>
    </row>
    <row r="19" spans="1:12" s="212" customFormat="1" ht="12.75" customHeight="1">
      <c r="A19" s="722">
        <v>4</v>
      </c>
      <c r="B19" s="723" t="s">
        <v>915</v>
      </c>
      <c r="C19" s="716">
        <v>1850</v>
      </c>
      <c r="D19" s="717">
        <f>ROUNDUP(C19*81.62%,0)</f>
        <v>1510</v>
      </c>
      <c r="E19" s="717">
        <v>1625</v>
      </c>
      <c r="F19" s="717">
        <v>1328</v>
      </c>
      <c r="G19" s="717">
        <v>1762</v>
      </c>
      <c r="H19" s="717">
        <v>1659</v>
      </c>
      <c r="I19" s="717">
        <v>1572</v>
      </c>
      <c r="J19" s="717">
        <v>1668</v>
      </c>
      <c r="K19" s="717">
        <v>1554</v>
      </c>
      <c r="L19" s="717">
        <v>1527</v>
      </c>
    </row>
    <row r="20" spans="1:12" s="212" customFormat="1" ht="12.75" customHeight="1">
      <c r="A20" s="722">
        <v>5</v>
      </c>
      <c r="B20" s="723" t="s">
        <v>916</v>
      </c>
      <c r="C20" s="716">
        <v>2252</v>
      </c>
      <c r="D20" s="717">
        <v>1820</v>
      </c>
      <c r="E20" s="717">
        <v>1542</v>
      </c>
      <c r="F20" s="717">
        <v>2017</v>
      </c>
      <c r="G20" s="717">
        <v>2014</v>
      </c>
      <c r="H20" s="717">
        <v>1997</v>
      </c>
      <c r="I20" s="717">
        <v>2033</v>
      </c>
      <c r="J20" s="717">
        <v>1937</v>
      </c>
      <c r="K20" s="717">
        <v>2081</v>
      </c>
      <c r="L20" s="717">
        <v>2178</v>
      </c>
    </row>
    <row r="21" spans="1:12" s="212" customFormat="1" ht="12.75" customHeight="1">
      <c r="A21" s="722">
        <v>6</v>
      </c>
      <c r="B21" s="723" t="s">
        <v>917</v>
      </c>
      <c r="C21" s="716">
        <v>1205</v>
      </c>
      <c r="D21" s="717">
        <v>1202</v>
      </c>
      <c r="E21" s="717">
        <v>1202</v>
      </c>
      <c r="F21" s="717">
        <v>1202</v>
      </c>
      <c r="G21" s="717">
        <v>1202</v>
      </c>
      <c r="H21" s="717">
        <v>1203</v>
      </c>
      <c r="I21" s="717">
        <v>1203</v>
      </c>
      <c r="J21" s="717">
        <v>1203</v>
      </c>
      <c r="K21" s="717">
        <v>1203</v>
      </c>
      <c r="L21" s="717">
        <v>1203</v>
      </c>
    </row>
    <row r="22" spans="1:12" s="212" customFormat="1" ht="12.75" customHeight="1">
      <c r="A22" s="722">
        <v>7</v>
      </c>
      <c r="B22" s="723" t="s">
        <v>918</v>
      </c>
      <c r="C22" s="716">
        <v>1455</v>
      </c>
      <c r="D22" s="717">
        <v>1223</v>
      </c>
      <c r="E22" s="717">
        <v>1115</v>
      </c>
      <c r="F22" s="717">
        <v>1424</v>
      </c>
      <c r="G22" s="717">
        <v>926</v>
      </c>
      <c r="H22" s="717">
        <v>987</v>
      </c>
      <c r="I22" s="717">
        <v>1243</v>
      </c>
      <c r="J22" s="717">
        <v>1110</v>
      </c>
      <c r="K22" s="717">
        <v>1098</v>
      </c>
      <c r="L22" s="717">
        <v>1015</v>
      </c>
    </row>
    <row r="23" spans="1:12" s="212" customFormat="1" ht="12.75" customHeight="1">
      <c r="A23" s="722">
        <v>8</v>
      </c>
      <c r="B23" s="723" t="s">
        <v>919</v>
      </c>
      <c r="C23" s="716">
        <v>2023</v>
      </c>
      <c r="D23" s="717">
        <f>ROUNDUP(C23*79.118%,0)</f>
        <v>1601</v>
      </c>
      <c r="E23" s="717">
        <v>1526</v>
      </c>
      <c r="F23" s="717">
        <v>1872</v>
      </c>
      <c r="G23" s="717">
        <v>1453</v>
      </c>
      <c r="H23" s="717">
        <v>1986</v>
      </c>
      <c r="I23" s="717">
        <v>1357</v>
      </c>
      <c r="J23" s="717">
        <v>1725</v>
      </c>
      <c r="K23" s="717">
        <v>1992</v>
      </c>
      <c r="L23" s="717">
        <v>1542</v>
      </c>
    </row>
    <row r="24" spans="1:12" s="212" customFormat="1" ht="12.75" customHeight="1">
      <c r="A24" s="722">
        <v>9</v>
      </c>
      <c r="B24" s="723" t="s">
        <v>920</v>
      </c>
      <c r="C24" s="716">
        <v>1654</v>
      </c>
      <c r="D24" s="717">
        <v>900</v>
      </c>
      <c r="E24" s="717">
        <v>925</v>
      </c>
      <c r="F24" s="717">
        <v>355</v>
      </c>
      <c r="G24" s="717">
        <v>1028</v>
      </c>
      <c r="H24" s="717">
        <v>986</v>
      </c>
      <c r="I24" s="717">
        <v>908</v>
      </c>
      <c r="J24" s="717">
        <v>534</v>
      </c>
      <c r="K24" s="717">
        <v>1158</v>
      </c>
      <c r="L24" s="717">
        <v>1391</v>
      </c>
    </row>
    <row r="25" spans="1:12" s="212" customFormat="1" ht="12.75" customHeight="1">
      <c r="A25" s="722">
        <v>10</v>
      </c>
      <c r="B25" s="723" t="s">
        <v>921</v>
      </c>
      <c r="C25" s="716">
        <v>1476</v>
      </c>
      <c r="D25" s="717">
        <v>1905</v>
      </c>
      <c r="E25" s="717">
        <v>1821</v>
      </c>
      <c r="F25" s="717">
        <v>2085</v>
      </c>
      <c r="G25" s="717">
        <v>2203</v>
      </c>
      <c r="H25" s="717">
        <v>2012</v>
      </c>
      <c r="I25" s="717">
        <v>2059</v>
      </c>
      <c r="J25" s="717">
        <v>2152</v>
      </c>
      <c r="K25" s="717">
        <v>2102</v>
      </c>
      <c r="L25" s="717">
        <v>2254</v>
      </c>
    </row>
    <row r="26" spans="1:12" s="212" customFormat="1" ht="12.75" customHeight="1">
      <c r="A26" s="722">
        <v>11</v>
      </c>
      <c r="B26" s="723" t="s">
        <v>922</v>
      </c>
      <c r="C26" s="716">
        <v>2437</v>
      </c>
      <c r="D26" s="718">
        <v>1234</v>
      </c>
      <c r="E26" s="718">
        <v>1212</v>
      </c>
      <c r="F26" s="718">
        <v>1234</v>
      </c>
      <c r="G26" s="718">
        <v>1296</v>
      </c>
      <c r="H26" s="718">
        <v>1291</v>
      </c>
      <c r="I26" s="718">
        <v>1303</v>
      </c>
      <c r="J26" s="718">
        <v>1299</v>
      </c>
      <c r="K26" s="718">
        <v>1314</v>
      </c>
      <c r="L26" s="718">
        <v>1305</v>
      </c>
    </row>
    <row r="27" spans="1:12" s="212" customFormat="1" ht="12.75" customHeight="1">
      <c r="A27" s="722">
        <v>12</v>
      </c>
      <c r="B27" s="723" t="s">
        <v>923</v>
      </c>
      <c r="C27" s="716">
        <v>2378</v>
      </c>
      <c r="D27" s="717">
        <v>2016</v>
      </c>
      <c r="E27" s="717">
        <v>1883</v>
      </c>
      <c r="F27" s="717">
        <v>2072</v>
      </c>
      <c r="G27" s="717">
        <v>2052</v>
      </c>
      <c r="H27" s="717">
        <v>2058</v>
      </c>
      <c r="I27" s="717">
        <v>2101</v>
      </c>
      <c r="J27" s="717">
        <v>2096</v>
      </c>
      <c r="K27" s="717">
        <v>2138</v>
      </c>
      <c r="L27" s="717">
        <v>2156</v>
      </c>
    </row>
    <row r="28" spans="1:12" s="212" customFormat="1" ht="12.75" customHeight="1">
      <c r="A28" s="722">
        <v>13</v>
      </c>
      <c r="B28" s="723" t="s">
        <v>924</v>
      </c>
      <c r="C28" s="716">
        <v>1957</v>
      </c>
      <c r="D28" s="717">
        <v>1412</v>
      </c>
      <c r="E28" s="717">
        <v>1087</v>
      </c>
      <c r="F28" s="717">
        <v>1562</v>
      </c>
      <c r="G28" s="717">
        <v>1585</v>
      </c>
      <c r="H28" s="717">
        <v>1703</v>
      </c>
      <c r="I28" s="717">
        <v>1660</v>
      </c>
      <c r="J28" s="717">
        <v>1424</v>
      </c>
      <c r="K28" s="717">
        <v>1569</v>
      </c>
      <c r="L28" s="717">
        <v>1506</v>
      </c>
    </row>
    <row r="29" spans="1:12" s="212" customFormat="1" ht="12.75" customHeight="1">
      <c r="A29" s="722">
        <v>14</v>
      </c>
      <c r="B29" s="723" t="s">
        <v>925</v>
      </c>
      <c r="C29" s="716">
        <v>937</v>
      </c>
      <c r="D29" s="717">
        <v>477</v>
      </c>
      <c r="E29" s="717">
        <v>505</v>
      </c>
      <c r="F29" s="717">
        <v>589</v>
      </c>
      <c r="G29" s="717">
        <v>615</v>
      </c>
      <c r="H29" s="717">
        <v>640</v>
      </c>
      <c r="I29" s="717">
        <v>639</v>
      </c>
      <c r="J29" s="717">
        <v>625</v>
      </c>
      <c r="K29" s="717">
        <v>643</v>
      </c>
      <c r="L29" s="717">
        <v>684</v>
      </c>
    </row>
    <row r="30" spans="1:12" s="212" customFormat="1" ht="12.75" customHeight="1">
      <c r="A30" s="722">
        <v>15</v>
      </c>
      <c r="B30" s="723" t="s">
        <v>926</v>
      </c>
      <c r="C30" s="716">
        <v>495</v>
      </c>
      <c r="D30" s="717">
        <v>495</v>
      </c>
      <c r="E30" s="717">
        <v>319</v>
      </c>
      <c r="F30" s="717">
        <v>394</v>
      </c>
      <c r="G30" s="717">
        <v>392</v>
      </c>
      <c r="H30" s="717">
        <v>391</v>
      </c>
      <c r="I30" s="717">
        <v>412</v>
      </c>
      <c r="J30" s="717">
        <v>393</v>
      </c>
      <c r="K30" s="717">
        <v>396</v>
      </c>
      <c r="L30" s="717">
        <v>384</v>
      </c>
    </row>
    <row r="31" spans="1:12" s="212" customFormat="1" ht="12.75" customHeight="1">
      <c r="A31" s="722">
        <v>16</v>
      </c>
      <c r="B31" s="723" t="s">
        <v>927</v>
      </c>
      <c r="C31" s="716">
        <v>2668</v>
      </c>
      <c r="D31" s="717">
        <v>2224</v>
      </c>
      <c r="E31" s="717">
        <v>1924</v>
      </c>
      <c r="F31" s="717">
        <v>2150</v>
      </c>
      <c r="G31" s="717">
        <v>1994</v>
      </c>
      <c r="H31" s="717">
        <v>2128</v>
      </c>
      <c r="I31" s="717">
        <v>2183</v>
      </c>
      <c r="J31" s="717">
        <v>2015</v>
      </c>
      <c r="K31" s="717">
        <v>2171</v>
      </c>
      <c r="L31" s="717">
        <v>2167</v>
      </c>
    </row>
    <row r="32" spans="1:12" s="212" customFormat="1" ht="12.75" customHeight="1">
      <c r="A32" s="722">
        <v>17</v>
      </c>
      <c r="B32" s="723" t="s">
        <v>928</v>
      </c>
      <c r="C32" s="716">
        <v>1588</v>
      </c>
      <c r="D32" s="717">
        <v>557</v>
      </c>
      <c r="E32" s="717">
        <v>715</v>
      </c>
      <c r="F32" s="717">
        <v>1279</v>
      </c>
      <c r="G32" s="717">
        <v>1321</v>
      </c>
      <c r="H32" s="717">
        <v>1326</v>
      </c>
      <c r="I32" s="717">
        <v>1283</v>
      </c>
      <c r="J32" s="717">
        <v>1206</v>
      </c>
      <c r="K32" s="717">
        <v>1346</v>
      </c>
      <c r="L32" s="717">
        <v>1361</v>
      </c>
    </row>
    <row r="33" spans="1:15" s="212" customFormat="1" ht="12.75" customHeight="1">
      <c r="A33" s="722">
        <v>18</v>
      </c>
      <c r="B33" s="723" t="s">
        <v>929</v>
      </c>
      <c r="C33" s="716">
        <v>1409</v>
      </c>
      <c r="D33" s="717">
        <v>1263</v>
      </c>
      <c r="E33" s="717">
        <v>1230</v>
      </c>
      <c r="F33" s="717">
        <v>1301</v>
      </c>
      <c r="G33" s="717">
        <v>1332</v>
      </c>
      <c r="H33" s="717">
        <v>1368</v>
      </c>
      <c r="I33" s="717">
        <v>1374</v>
      </c>
      <c r="J33" s="717">
        <v>1300</v>
      </c>
      <c r="K33" s="717">
        <v>1382</v>
      </c>
      <c r="L33" s="717">
        <v>1242</v>
      </c>
    </row>
    <row r="34" spans="1:15" s="212" customFormat="1" ht="12.75" customHeight="1">
      <c r="A34" s="722">
        <v>19</v>
      </c>
      <c r="B34" s="723" t="s">
        <v>930</v>
      </c>
      <c r="C34" s="716">
        <v>935</v>
      </c>
      <c r="D34" s="717">
        <v>828</v>
      </c>
      <c r="E34" s="717">
        <v>832</v>
      </c>
      <c r="F34" s="717">
        <v>826</v>
      </c>
      <c r="G34" s="717">
        <v>828</v>
      </c>
      <c r="H34" s="717">
        <v>847</v>
      </c>
      <c r="I34" s="717">
        <v>831</v>
      </c>
      <c r="J34" s="717">
        <v>836</v>
      </c>
      <c r="K34" s="717">
        <v>861</v>
      </c>
      <c r="L34" s="717">
        <v>838</v>
      </c>
    </row>
    <row r="35" spans="1:15" s="212" customFormat="1" ht="12.75" customHeight="1">
      <c r="A35" s="722">
        <v>20</v>
      </c>
      <c r="B35" s="723" t="s">
        <v>931</v>
      </c>
      <c r="C35" s="716">
        <v>1083</v>
      </c>
      <c r="D35" s="717">
        <v>1075</v>
      </c>
      <c r="E35" s="717">
        <v>776</v>
      </c>
      <c r="F35" s="717">
        <v>828</v>
      </c>
      <c r="G35" s="717">
        <v>777</v>
      </c>
      <c r="H35" s="717">
        <v>798</v>
      </c>
      <c r="I35" s="717">
        <v>838</v>
      </c>
      <c r="J35" s="717">
        <v>861</v>
      </c>
      <c r="K35" s="717">
        <v>721</v>
      </c>
      <c r="L35" s="717">
        <v>908</v>
      </c>
    </row>
    <row r="36" spans="1:15" s="212" customFormat="1" ht="12.75" customHeight="1">
      <c r="A36" s="722">
        <v>21</v>
      </c>
      <c r="B36" s="723" t="s">
        <v>932</v>
      </c>
      <c r="C36" s="716">
        <v>1263</v>
      </c>
      <c r="D36" s="717">
        <v>965</v>
      </c>
      <c r="E36" s="717">
        <v>920</v>
      </c>
      <c r="F36" s="717">
        <v>1071</v>
      </c>
      <c r="G36" s="717">
        <v>1058</v>
      </c>
      <c r="H36" s="717">
        <v>1066</v>
      </c>
      <c r="I36" s="717">
        <v>1067</v>
      </c>
      <c r="J36" s="717">
        <v>1035</v>
      </c>
      <c r="K36" s="717">
        <v>1068</v>
      </c>
      <c r="L36" s="717">
        <v>1070</v>
      </c>
    </row>
    <row r="37" spans="1:15" s="212" customFormat="1" ht="12.75" customHeight="1">
      <c r="A37" s="722">
        <v>22</v>
      </c>
      <c r="B37" s="723" t="s">
        <v>933</v>
      </c>
      <c r="C37" s="716">
        <v>1088</v>
      </c>
      <c r="D37" s="717">
        <v>1136</v>
      </c>
      <c r="E37" s="717">
        <v>1107</v>
      </c>
      <c r="F37" s="717">
        <v>1178</v>
      </c>
      <c r="G37" s="717">
        <v>1215</v>
      </c>
      <c r="H37" s="717">
        <v>1218</v>
      </c>
      <c r="I37" s="717">
        <v>1219</v>
      </c>
      <c r="J37" s="717">
        <v>1230</v>
      </c>
      <c r="K37" s="717">
        <v>1227</v>
      </c>
      <c r="L37" s="717">
        <v>1263</v>
      </c>
    </row>
    <row r="38" spans="1:15" s="212" customFormat="1" ht="12.75" customHeight="1">
      <c r="A38" s="722">
        <v>23</v>
      </c>
      <c r="B38" s="723" t="s">
        <v>934</v>
      </c>
      <c r="C38" s="716">
        <v>1532</v>
      </c>
      <c r="D38" s="717">
        <v>1389</v>
      </c>
      <c r="E38" s="717">
        <v>1246</v>
      </c>
      <c r="F38" s="717">
        <v>1253</v>
      </c>
      <c r="G38" s="717">
        <v>1528</v>
      </c>
      <c r="H38" s="717">
        <v>1426</v>
      </c>
      <c r="I38" s="717">
        <v>1329</v>
      </c>
      <c r="J38" s="717">
        <v>1273</v>
      </c>
      <c r="K38" s="717">
        <v>1204</v>
      </c>
      <c r="L38" s="717">
        <v>1301</v>
      </c>
    </row>
    <row r="39" spans="1:15" s="212" customFormat="1" ht="12.75" customHeight="1">
      <c r="A39" s="722">
        <v>24</v>
      </c>
      <c r="B39" s="723" t="s">
        <v>935</v>
      </c>
      <c r="C39" s="716">
        <v>883</v>
      </c>
      <c r="D39" s="717">
        <v>883</v>
      </c>
      <c r="E39" s="717">
        <v>883</v>
      </c>
      <c r="F39" s="717">
        <v>883</v>
      </c>
      <c r="G39" s="717">
        <v>883</v>
      </c>
      <c r="H39" s="717">
        <v>883</v>
      </c>
      <c r="I39" s="717">
        <v>883</v>
      </c>
      <c r="J39" s="717">
        <v>883</v>
      </c>
      <c r="K39" s="717">
        <v>883</v>
      </c>
      <c r="L39" s="717">
        <v>883</v>
      </c>
    </row>
    <row r="40" spans="1:15" s="212" customFormat="1" ht="12.75" customHeight="1">
      <c r="A40" s="722">
        <v>25</v>
      </c>
      <c r="B40" s="723" t="s">
        <v>936</v>
      </c>
      <c r="C40" s="716">
        <v>2254</v>
      </c>
      <c r="D40" s="717">
        <v>1728</v>
      </c>
      <c r="E40" s="717">
        <v>1726</v>
      </c>
      <c r="F40" s="717">
        <v>1772</v>
      </c>
      <c r="G40" s="717">
        <v>1628</v>
      </c>
      <c r="H40" s="717">
        <v>1723</v>
      </c>
      <c r="I40" s="717">
        <v>1625</v>
      </c>
      <c r="J40" s="717">
        <v>1832</v>
      </c>
      <c r="K40" s="717">
        <v>1628</v>
      </c>
      <c r="L40" s="717">
        <v>1932</v>
      </c>
    </row>
    <row r="41" spans="1:15" s="212" customFormat="1" ht="12.75" customHeight="1">
      <c r="A41" s="722">
        <v>26</v>
      </c>
      <c r="B41" s="723" t="s">
        <v>937</v>
      </c>
      <c r="C41" s="716">
        <v>1780</v>
      </c>
      <c r="D41" s="717">
        <v>1627</v>
      </c>
      <c r="E41" s="717">
        <v>1525</v>
      </c>
      <c r="F41" s="717">
        <v>1417</v>
      </c>
      <c r="G41" s="717">
        <v>1152</v>
      </c>
      <c r="H41" s="717">
        <v>1727</v>
      </c>
      <c r="I41" s="717">
        <v>1272</v>
      </c>
      <c r="J41" s="717">
        <v>1182</v>
      </c>
      <c r="K41" s="717">
        <v>1283</v>
      </c>
      <c r="L41" s="717">
        <v>1273</v>
      </c>
    </row>
    <row r="42" spans="1:15" s="212" customFormat="1" ht="12.75" customHeight="1">
      <c r="A42" s="722">
        <v>27</v>
      </c>
      <c r="B42" s="723" t="s">
        <v>938</v>
      </c>
      <c r="C42" s="716">
        <v>1696</v>
      </c>
      <c r="D42" s="717">
        <v>1526</v>
      </c>
      <c r="E42" s="717">
        <v>1524</v>
      </c>
      <c r="F42" s="717">
        <v>1283</v>
      </c>
      <c r="G42" s="717">
        <v>1172</v>
      </c>
      <c r="H42" s="717">
        <v>1426</v>
      </c>
      <c r="I42" s="717">
        <v>1253</v>
      </c>
      <c r="J42" s="717">
        <v>1237</v>
      </c>
      <c r="K42" s="717">
        <v>1372</v>
      </c>
      <c r="L42" s="717">
        <v>1477</v>
      </c>
    </row>
    <row r="43" spans="1:15" s="212" customFormat="1" ht="12.75" customHeight="1">
      <c r="A43" s="722">
        <v>28</v>
      </c>
      <c r="B43" s="723" t="s">
        <v>939</v>
      </c>
      <c r="C43" s="716">
        <v>2319</v>
      </c>
      <c r="D43" s="717">
        <v>985</v>
      </c>
      <c r="E43" s="717">
        <v>462</v>
      </c>
      <c r="F43" s="717">
        <v>1144</v>
      </c>
      <c r="G43" s="717">
        <v>1927</v>
      </c>
      <c r="H43" s="717">
        <v>1961</v>
      </c>
      <c r="I43" s="717">
        <v>2011</v>
      </c>
      <c r="J43" s="717">
        <v>2043</v>
      </c>
      <c r="K43" s="717">
        <v>2105</v>
      </c>
      <c r="L43" s="717">
        <v>2117</v>
      </c>
    </row>
    <row r="44" spans="1:15">
      <c r="A44" s="722">
        <v>29</v>
      </c>
      <c r="B44" s="723" t="s">
        <v>940</v>
      </c>
      <c r="C44" s="718">
        <v>1779</v>
      </c>
      <c r="D44" s="717">
        <v>1045</v>
      </c>
      <c r="E44" s="717">
        <v>730</v>
      </c>
      <c r="F44" s="717">
        <v>1023</v>
      </c>
      <c r="G44" s="717">
        <v>1151</v>
      </c>
      <c r="H44" s="717">
        <v>1220</v>
      </c>
      <c r="I44" s="717">
        <v>1137</v>
      </c>
      <c r="J44" s="717">
        <v>1026</v>
      </c>
      <c r="K44" s="717">
        <v>1110</v>
      </c>
      <c r="L44" s="717">
        <v>1095</v>
      </c>
    </row>
    <row r="45" spans="1:15">
      <c r="A45" s="722">
        <v>30</v>
      </c>
      <c r="B45" s="723" t="s">
        <v>941</v>
      </c>
      <c r="C45" s="718">
        <v>1667</v>
      </c>
      <c r="D45" s="717">
        <v>1668</v>
      </c>
      <c r="E45" s="717">
        <v>1668</v>
      </c>
      <c r="F45" s="717">
        <v>1668</v>
      </c>
      <c r="G45" s="717">
        <v>1668</v>
      </c>
      <c r="H45" s="717">
        <v>1668</v>
      </c>
      <c r="I45" s="717">
        <v>1668</v>
      </c>
      <c r="J45" s="717">
        <v>1668</v>
      </c>
      <c r="K45" s="717">
        <v>1668</v>
      </c>
      <c r="L45" s="717">
        <v>1668</v>
      </c>
      <c r="O45" s="204" t="s">
        <v>10</v>
      </c>
    </row>
    <row r="46" spans="1:15">
      <c r="A46" s="722">
        <v>31</v>
      </c>
      <c r="B46" s="723" t="s">
        <v>942</v>
      </c>
      <c r="C46" s="718">
        <v>2263</v>
      </c>
      <c r="D46" s="717">
        <v>470</v>
      </c>
      <c r="E46" s="717">
        <v>507</v>
      </c>
      <c r="F46" s="717">
        <v>593</v>
      </c>
      <c r="G46" s="717">
        <v>807</v>
      </c>
      <c r="H46" s="717">
        <v>838</v>
      </c>
      <c r="I46" s="717">
        <v>812</v>
      </c>
      <c r="J46" s="717">
        <v>367</v>
      </c>
      <c r="K46" s="717">
        <v>879</v>
      </c>
      <c r="L46" s="717">
        <v>965</v>
      </c>
    </row>
    <row r="47" spans="1:15" s="140" customFormat="1" ht="12.75" customHeight="1">
      <c r="A47" s="722">
        <v>32</v>
      </c>
      <c r="B47" s="723" t="s">
        <v>943</v>
      </c>
      <c r="C47" s="718">
        <v>1153</v>
      </c>
      <c r="D47" s="717">
        <v>1022</v>
      </c>
      <c r="E47" s="717">
        <v>1046</v>
      </c>
      <c r="F47" s="717">
        <v>1028</v>
      </c>
      <c r="G47" s="717">
        <v>1025</v>
      </c>
      <c r="H47" s="717">
        <v>1099</v>
      </c>
      <c r="I47" s="717">
        <v>1038</v>
      </c>
      <c r="J47" s="717">
        <v>1029</v>
      </c>
      <c r="K47" s="717">
        <v>1087</v>
      </c>
      <c r="L47" s="717">
        <v>1083</v>
      </c>
    </row>
    <row r="48" spans="1:15" s="140" customFormat="1" ht="12.75" customHeight="1">
      <c r="A48" s="722">
        <v>33</v>
      </c>
      <c r="B48" s="723" t="s">
        <v>944</v>
      </c>
      <c r="C48" s="719">
        <v>1719</v>
      </c>
      <c r="D48" s="717">
        <v>1466</v>
      </c>
      <c r="E48" s="717">
        <v>1213</v>
      </c>
      <c r="F48" s="717">
        <v>1554</v>
      </c>
      <c r="G48" s="717">
        <v>1609</v>
      </c>
      <c r="H48" s="717">
        <v>1636</v>
      </c>
      <c r="I48" s="717">
        <v>1594</v>
      </c>
      <c r="J48" s="717">
        <v>1524</v>
      </c>
      <c r="K48" s="717">
        <v>1549</v>
      </c>
      <c r="L48" s="717">
        <v>1535</v>
      </c>
    </row>
    <row r="49" spans="1:12" s="140" customFormat="1" ht="13.15" customHeight="1">
      <c r="A49" s="722">
        <v>34</v>
      </c>
      <c r="B49" s="723" t="s">
        <v>945</v>
      </c>
      <c r="C49" s="719">
        <v>1102</v>
      </c>
      <c r="D49" s="717">
        <v>1098</v>
      </c>
      <c r="E49" s="717">
        <v>927</v>
      </c>
      <c r="F49" s="717">
        <v>926</v>
      </c>
      <c r="G49" s="717">
        <v>948</v>
      </c>
      <c r="H49" s="717">
        <v>749</v>
      </c>
      <c r="I49" s="717">
        <v>937</v>
      </c>
      <c r="J49" s="717">
        <v>749</v>
      </c>
      <c r="K49" s="717">
        <v>886</v>
      </c>
      <c r="L49" s="717">
        <v>850</v>
      </c>
    </row>
    <row r="50" spans="1:12">
      <c r="A50" s="568" t="s">
        <v>17</v>
      </c>
      <c r="B50" s="568"/>
      <c r="C50" s="724">
        <v>54461</v>
      </c>
      <c r="D50" s="724">
        <f>SUM(D16:D49)</f>
        <v>41280</v>
      </c>
      <c r="E50" s="724">
        <f t="shared" ref="E50:L50" si="0">SUM(E16:E49)</f>
        <v>37941</v>
      </c>
      <c r="F50" s="724">
        <f t="shared" si="0"/>
        <v>42179</v>
      </c>
      <c r="G50" s="724">
        <f t="shared" si="0"/>
        <v>43686</v>
      </c>
      <c r="H50" s="724">
        <f t="shared" si="0"/>
        <v>45123</v>
      </c>
      <c r="I50" s="724">
        <f t="shared" si="0"/>
        <v>43939</v>
      </c>
      <c r="J50" s="724">
        <f t="shared" si="0"/>
        <v>41523</v>
      </c>
      <c r="K50" s="724">
        <f t="shared" si="0"/>
        <v>44609</v>
      </c>
      <c r="L50" s="724">
        <f t="shared" si="0"/>
        <v>45181</v>
      </c>
    </row>
    <row r="53" spans="1:12">
      <c r="A53" s="901" t="s">
        <v>906</v>
      </c>
      <c r="B53" s="901"/>
      <c r="C53" s="901"/>
      <c r="G53" s="901" t="s">
        <v>12</v>
      </c>
      <c r="H53" s="901"/>
      <c r="I53" s="901"/>
      <c r="J53" s="901"/>
      <c r="K53" s="901"/>
      <c r="L53" s="901"/>
    </row>
    <row r="54" spans="1:12">
      <c r="A54" s="901" t="s">
        <v>907</v>
      </c>
      <c r="B54" s="901"/>
      <c r="C54" s="901"/>
      <c r="G54" s="901" t="s">
        <v>13</v>
      </c>
      <c r="H54" s="901"/>
      <c r="I54" s="901"/>
      <c r="J54" s="901"/>
      <c r="K54" s="901"/>
      <c r="L54" s="901"/>
    </row>
    <row r="55" spans="1:12">
      <c r="A55" s="901" t="s">
        <v>908</v>
      </c>
      <c r="B55" s="901"/>
      <c r="C55" s="901"/>
      <c r="G55" s="901" t="s">
        <v>87</v>
      </c>
      <c r="H55" s="901"/>
      <c r="I55" s="901"/>
      <c r="J55" s="901"/>
      <c r="K55" s="901"/>
      <c r="L55" s="901"/>
    </row>
    <row r="56" spans="1:12">
      <c r="A56" s="204" t="s">
        <v>11</v>
      </c>
      <c r="G56" s="897" t="s">
        <v>84</v>
      </c>
      <c r="H56" s="897"/>
      <c r="I56" s="897"/>
      <c r="J56" s="897"/>
    </row>
  </sheetData>
  <mergeCells count="19">
    <mergeCell ref="K1:L1"/>
    <mergeCell ref="G1:H1"/>
    <mergeCell ref="A3:L3"/>
    <mergeCell ref="A4:L4"/>
    <mergeCell ref="A13:A14"/>
    <mergeCell ref="B13:B14"/>
    <mergeCell ref="C13:C14"/>
    <mergeCell ref="C2:I2"/>
    <mergeCell ref="D13:L13"/>
    <mergeCell ref="J12:L12"/>
    <mergeCell ref="G55:L55"/>
    <mergeCell ref="G56:J56"/>
    <mergeCell ref="G53:L53"/>
    <mergeCell ref="A9:E9"/>
    <mergeCell ref="A10:E10"/>
    <mergeCell ref="G54:L54"/>
    <mergeCell ref="A53:C53"/>
    <mergeCell ref="A54:C54"/>
    <mergeCell ref="A55:C55"/>
  </mergeCells>
  <printOptions horizontalCentered="1"/>
  <pageMargins left="0.70866141732283472" right="0.70866141732283472" top="0.23622047244094491" bottom="0" header="0.31496062992125984" footer="0.31496062992125984"/>
  <pageSetup paperSize="9" scale="77" orientation="landscape" r:id="rId1"/>
</worksheet>
</file>

<file path=xl/worksheets/sheet53.xml><?xml version="1.0" encoding="utf-8"?>
<worksheet xmlns="http://schemas.openxmlformats.org/spreadsheetml/2006/main" xmlns:r="http://schemas.openxmlformats.org/officeDocument/2006/relationships">
  <sheetPr codeName="Sheet53">
    <pageSetUpPr fitToPage="1"/>
  </sheetPr>
  <dimension ref="A1:P54"/>
  <sheetViews>
    <sheetView topLeftCell="A31" zoomScale="80" zoomScaleNormal="80" zoomScaleSheetLayoutView="80" workbookViewId="0">
      <selection activeCell="C11" sqref="C11:M45"/>
    </sheetView>
  </sheetViews>
  <sheetFormatPr defaultRowHeight="12.75"/>
  <cols>
    <col min="2" max="2" width="22.5703125"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c r="C1" s="911" t="s">
        <v>0</v>
      </c>
      <c r="D1" s="911"/>
      <c r="E1" s="911"/>
      <c r="F1" s="911"/>
      <c r="G1" s="911"/>
      <c r="H1" s="911"/>
      <c r="I1" s="911"/>
      <c r="J1" s="227"/>
      <c r="K1" s="227"/>
      <c r="L1" s="1080" t="s">
        <v>531</v>
      </c>
      <c r="M1" s="1080"/>
      <c r="N1" s="227"/>
      <c r="O1" s="227"/>
      <c r="P1" s="227"/>
    </row>
    <row r="2" spans="1:16" ht="21">
      <c r="B2" s="912" t="s">
        <v>745</v>
      </c>
      <c r="C2" s="912"/>
      <c r="D2" s="912"/>
      <c r="E2" s="912"/>
      <c r="F2" s="912"/>
      <c r="G2" s="912"/>
      <c r="H2" s="912"/>
      <c r="I2" s="912"/>
      <c r="J2" s="912"/>
      <c r="K2" s="912"/>
      <c r="L2" s="912"/>
      <c r="M2" s="228"/>
      <c r="N2" s="228"/>
      <c r="O2" s="228"/>
      <c r="P2" s="228"/>
    </row>
    <row r="3" spans="1:16" ht="21">
      <c r="C3" s="196"/>
      <c r="D3" s="196"/>
      <c r="E3" s="196"/>
      <c r="F3" s="196"/>
      <c r="G3" s="196"/>
      <c r="H3" s="196"/>
      <c r="I3" s="196"/>
      <c r="J3" s="196"/>
      <c r="K3" s="196"/>
      <c r="L3" s="196"/>
      <c r="M3" s="196"/>
      <c r="N3" s="228"/>
      <c r="O3" s="228"/>
      <c r="P3" s="228"/>
    </row>
    <row r="4" spans="1:16" ht="20.25" customHeight="1">
      <c r="A4" s="1112" t="s">
        <v>530</v>
      </c>
      <c r="B4" s="1112"/>
      <c r="C4" s="1112"/>
      <c r="D4" s="1112"/>
      <c r="E4" s="1112"/>
      <c r="F4" s="1112"/>
      <c r="G4" s="1112"/>
      <c r="H4" s="1112"/>
      <c r="I4" s="1112"/>
      <c r="J4" s="1112"/>
      <c r="K4" s="1112"/>
      <c r="L4" s="1112"/>
      <c r="M4" s="1112"/>
    </row>
    <row r="5" spans="1:16" ht="20.25" customHeight="1">
      <c r="A5" s="1113" t="s">
        <v>985</v>
      </c>
      <c r="B5" s="1113"/>
      <c r="C5" s="1113"/>
      <c r="D5" s="1113"/>
      <c r="E5" s="1113"/>
      <c r="F5" s="1113"/>
      <c r="G5" s="1113"/>
      <c r="H5" s="914" t="s">
        <v>831</v>
      </c>
      <c r="I5" s="914"/>
      <c r="J5" s="914"/>
      <c r="K5" s="914"/>
      <c r="L5" s="914"/>
      <c r="M5" s="914"/>
      <c r="N5" s="101"/>
    </row>
    <row r="6" spans="1:16" ht="15" customHeight="1">
      <c r="A6" s="979" t="s">
        <v>74</v>
      </c>
      <c r="B6" s="979" t="s">
        <v>290</v>
      </c>
      <c r="C6" s="1114" t="s">
        <v>421</v>
      </c>
      <c r="D6" s="1115"/>
      <c r="E6" s="1115"/>
      <c r="F6" s="1115"/>
      <c r="G6" s="1116"/>
      <c r="H6" s="982" t="s">
        <v>418</v>
      </c>
      <c r="I6" s="982"/>
      <c r="J6" s="982"/>
      <c r="K6" s="982"/>
      <c r="L6" s="982"/>
      <c r="M6" s="979" t="s">
        <v>291</v>
      </c>
    </row>
    <row r="7" spans="1:16" ht="12.75" customHeight="1">
      <c r="A7" s="980"/>
      <c r="B7" s="980"/>
      <c r="C7" s="1117"/>
      <c r="D7" s="1118"/>
      <c r="E7" s="1118"/>
      <c r="F7" s="1118"/>
      <c r="G7" s="1119"/>
      <c r="H7" s="982"/>
      <c r="I7" s="982"/>
      <c r="J7" s="982"/>
      <c r="K7" s="982"/>
      <c r="L7" s="982"/>
      <c r="M7" s="980"/>
    </row>
    <row r="8" spans="1:16" ht="5.25" customHeight="1">
      <c r="A8" s="980"/>
      <c r="B8" s="980"/>
      <c r="C8" s="1117"/>
      <c r="D8" s="1118"/>
      <c r="E8" s="1118"/>
      <c r="F8" s="1118"/>
      <c r="G8" s="1119"/>
      <c r="H8" s="982"/>
      <c r="I8" s="982"/>
      <c r="J8" s="982"/>
      <c r="K8" s="982"/>
      <c r="L8" s="982"/>
      <c r="M8" s="980"/>
    </row>
    <row r="9" spans="1:16" ht="68.25" customHeight="1">
      <c r="A9" s="981"/>
      <c r="B9" s="981"/>
      <c r="C9" s="233" t="s">
        <v>292</v>
      </c>
      <c r="D9" s="233" t="s">
        <v>293</v>
      </c>
      <c r="E9" s="233" t="s">
        <v>294</v>
      </c>
      <c r="F9" s="233" t="s">
        <v>295</v>
      </c>
      <c r="G9" s="259" t="s">
        <v>296</v>
      </c>
      <c r="H9" s="258" t="s">
        <v>417</v>
      </c>
      <c r="I9" s="258" t="s">
        <v>422</v>
      </c>
      <c r="J9" s="258" t="s">
        <v>419</v>
      </c>
      <c r="K9" s="258" t="s">
        <v>420</v>
      </c>
      <c r="L9" s="258" t="s">
        <v>47</v>
      </c>
      <c r="M9" s="981"/>
    </row>
    <row r="10" spans="1:16" ht="15">
      <c r="A10" s="234">
        <v>1</v>
      </c>
      <c r="B10" s="234">
        <v>2</v>
      </c>
      <c r="C10" s="234">
        <v>3</v>
      </c>
      <c r="D10" s="234">
        <v>4</v>
      </c>
      <c r="E10" s="234">
        <v>5</v>
      </c>
      <c r="F10" s="234">
        <v>6</v>
      </c>
      <c r="G10" s="234">
        <v>7</v>
      </c>
      <c r="H10" s="234">
        <v>8</v>
      </c>
      <c r="I10" s="234">
        <v>9</v>
      </c>
      <c r="J10" s="234">
        <v>10</v>
      </c>
      <c r="K10" s="234">
        <v>11</v>
      </c>
      <c r="L10" s="234">
        <v>12</v>
      </c>
      <c r="M10" s="234">
        <v>13</v>
      </c>
    </row>
    <row r="11" spans="1:16" ht="15">
      <c r="A11" s="291">
        <v>1</v>
      </c>
      <c r="B11" s="397" t="s">
        <v>912</v>
      </c>
      <c r="C11" s="1102" t="s">
        <v>986</v>
      </c>
      <c r="D11" s="1103"/>
      <c r="E11" s="1103"/>
      <c r="F11" s="1103"/>
      <c r="G11" s="1103"/>
      <c r="H11" s="1103"/>
      <c r="I11" s="1103"/>
      <c r="J11" s="1103"/>
      <c r="K11" s="1103"/>
      <c r="L11" s="1103"/>
      <c r="M11" s="1104"/>
    </row>
    <row r="12" spans="1:16" ht="15">
      <c r="A12" s="291">
        <v>2</v>
      </c>
      <c r="B12" s="397" t="s">
        <v>913</v>
      </c>
      <c r="C12" s="1105"/>
      <c r="D12" s="1106"/>
      <c r="E12" s="1106"/>
      <c r="F12" s="1106"/>
      <c r="G12" s="1106"/>
      <c r="H12" s="1106"/>
      <c r="I12" s="1106"/>
      <c r="J12" s="1106"/>
      <c r="K12" s="1106"/>
      <c r="L12" s="1106"/>
      <c r="M12" s="1107"/>
    </row>
    <row r="13" spans="1:16" ht="15">
      <c r="A13" s="291">
        <v>3</v>
      </c>
      <c r="B13" s="397" t="s">
        <v>914</v>
      </c>
      <c r="C13" s="1105"/>
      <c r="D13" s="1106"/>
      <c r="E13" s="1106"/>
      <c r="F13" s="1106"/>
      <c r="G13" s="1106"/>
      <c r="H13" s="1106"/>
      <c r="I13" s="1106"/>
      <c r="J13" s="1106"/>
      <c r="K13" s="1106"/>
      <c r="L13" s="1106"/>
      <c r="M13" s="1107"/>
    </row>
    <row r="14" spans="1:16" ht="15">
      <c r="A14" s="291">
        <v>4</v>
      </c>
      <c r="B14" s="397" t="s">
        <v>915</v>
      </c>
      <c r="C14" s="1105"/>
      <c r="D14" s="1106"/>
      <c r="E14" s="1106"/>
      <c r="F14" s="1106"/>
      <c r="G14" s="1106"/>
      <c r="H14" s="1106"/>
      <c r="I14" s="1106"/>
      <c r="J14" s="1106"/>
      <c r="K14" s="1106"/>
      <c r="L14" s="1106"/>
      <c r="M14" s="1107"/>
    </row>
    <row r="15" spans="1:16" ht="15">
      <c r="A15" s="291">
        <v>5</v>
      </c>
      <c r="B15" s="397" t="s">
        <v>916</v>
      </c>
      <c r="C15" s="1105"/>
      <c r="D15" s="1106"/>
      <c r="E15" s="1106"/>
      <c r="F15" s="1106"/>
      <c r="G15" s="1106"/>
      <c r="H15" s="1106"/>
      <c r="I15" s="1106"/>
      <c r="J15" s="1106"/>
      <c r="K15" s="1106"/>
      <c r="L15" s="1106"/>
      <c r="M15" s="1107"/>
    </row>
    <row r="16" spans="1:16" ht="15">
      <c r="A16" s="291">
        <v>6</v>
      </c>
      <c r="B16" s="397" t="s">
        <v>917</v>
      </c>
      <c r="C16" s="1105"/>
      <c r="D16" s="1106"/>
      <c r="E16" s="1106"/>
      <c r="F16" s="1106"/>
      <c r="G16" s="1106"/>
      <c r="H16" s="1106"/>
      <c r="I16" s="1106"/>
      <c r="J16" s="1106"/>
      <c r="K16" s="1106"/>
      <c r="L16" s="1106"/>
      <c r="M16" s="1107"/>
    </row>
    <row r="17" spans="1:13" ht="15">
      <c r="A17" s="291">
        <v>7</v>
      </c>
      <c r="B17" s="397" t="s">
        <v>918</v>
      </c>
      <c r="C17" s="1105"/>
      <c r="D17" s="1106"/>
      <c r="E17" s="1106"/>
      <c r="F17" s="1106"/>
      <c r="G17" s="1106"/>
      <c r="H17" s="1106"/>
      <c r="I17" s="1106"/>
      <c r="J17" s="1106"/>
      <c r="K17" s="1106"/>
      <c r="L17" s="1106"/>
      <c r="M17" s="1107"/>
    </row>
    <row r="18" spans="1:13" ht="15">
      <c r="A18" s="291">
        <v>8</v>
      </c>
      <c r="B18" s="397" t="s">
        <v>919</v>
      </c>
      <c r="C18" s="1105"/>
      <c r="D18" s="1106"/>
      <c r="E18" s="1106"/>
      <c r="F18" s="1106"/>
      <c r="G18" s="1106"/>
      <c r="H18" s="1106"/>
      <c r="I18" s="1106"/>
      <c r="J18" s="1106"/>
      <c r="K18" s="1106"/>
      <c r="L18" s="1106"/>
      <c r="M18" s="1107"/>
    </row>
    <row r="19" spans="1:13" ht="15">
      <c r="A19" s="291">
        <v>9</v>
      </c>
      <c r="B19" s="397" t="s">
        <v>920</v>
      </c>
      <c r="C19" s="1105"/>
      <c r="D19" s="1106"/>
      <c r="E19" s="1106"/>
      <c r="F19" s="1106"/>
      <c r="G19" s="1106"/>
      <c r="H19" s="1106"/>
      <c r="I19" s="1106"/>
      <c r="J19" s="1106"/>
      <c r="K19" s="1106"/>
      <c r="L19" s="1106"/>
      <c r="M19" s="1107"/>
    </row>
    <row r="20" spans="1:13" ht="15">
      <c r="A20" s="291">
        <v>10</v>
      </c>
      <c r="B20" s="397" t="s">
        <v>921</v>
      </c>
      <c r="C20" s="1105"/>
      <c r="D20" s="1106"/>
      <c r="E20" s="1106"/>
      <c r="F20" s="1106"/>
      <c r="G20" s="1106"/>
      <c r="H20" s="1106"/>
      <c r="I20" s="1106"/>
      <c r="J20" s="1106"/>
      <c r="K20" s="1106"/>
      <c r="L20" s="1106"/>
      <c r="M20" s="1107"/>
    </row>
    <row r="21" spans="1:13" ht="14.25" customHeight="1">
      <c r="A21" s="291">
        <v>11</v>
      </c>
      <c r="B21" s="397" t="s">
        <v>922</v>
      </c>
      <c r="C21" s="1105"/>
      <c r="D21" s="1106"/>
      <c r="E21" s="1106"/>
      <c r="F21" s="1106"/>
      <c r="G21" s="1106"/>
      <c r="H21" s="1106"/>
      <c r="I21" s="1106"/>
      <c r="J21" s="1106"/>
      <c r="K21" s="1106"/>
      <c r="L21" s="1106"/>
      <c r="M21" s="1107"/>
    </row>
    <row r="22" spans="1:13" ht="15">
      <c r="A22" s="291">
        <v>12</v>
      </c>
      <c r="B22" s="397" t="s">
        <v>923</v>
      </c>
      <c r="C22" s="1105"/>
      <c r="D22" s="1106"/>
      <c r="E22" s="1106"/>
      <c r="F22" s="1106"/>
      <c r="G22" s="1106"/>
      <c r="H22" s="1106"/>
      <c r="I22" s="1106"/>
      <c r="J22" s="1106"/>
      <c r="K22" s="1106"/>
      <c r="L22" s="1106"/>
      <c r="M22" s="1107"/>
    </row>
    <row r="23" spans="1:13" ht="15">
      <c r="A23" s="291">
        <v>13</v>
      </c>
      <c r="B23" s="397" t="s">
        <v>924</v>
      </c>
      <c r="C23" s="1105"/>
      <c r="D23" s="1106"/>
      <c r="E23" s="1106"/>
      <c r="F23" s="1106"/>
      <c r="G23" s="1106"/>
      <c r="H23" s="1106"/>
      <c r="I23" s="1106"/>
      <c r="J23" s="1106"/>
      <c r="K23" s="1106"/>
      <c r="L23" s="1106"/>
      <c r="M23" s="1107"/>
    </row>
    <row r="24" spans="1:13" ht="15">
      <c r="A24" s="291">
        <v>14</v>
      </c>
      <c r="B24" s="397" t="s">
        <v>925</v>
      </c>
      <c r="C24" s="1105"/>
      <c r="D24" s="1106"/>
      <c r="E24" s="1106"/>
      <c r="F24" s="1106"/>
      <c r="G24" s="1106"/>
      <c r="H24" s="1106"/>
      <c r="I24" s="1106"/>
      <c r="J24" s="1106"/>
      <c r="K24" s="1106"/>
      <c r="L24" s="1106"/>
      <c r="M24" s="1107"/>
    </row>
    <row r="25" spans="1:13" ht="15">
      <c r="A25" s="291">
        <v>15</v>
      </c>
      <c r="B25" s="397" t="s">
        <v>926</v>
      </c>
      <c r="C25" s="1105"/>
      <c r="D25" s="1106"/>
      <c r="E25" s="1106"/>
      <c r="F25" s="1106"/>
      <c r="G25" s="1106"/>
      <c r="H25" s="1106"/>
      <c r="I25" s="1106"/>
      <c r="J25" s="1106"/>
      <c r="K25" s="1106"/>
      <c r="L25" s="1106"/>
      <c r="M25" s="1107"/>
    </row>
    <row r="26" spans="1:13" ht="15">
      <c r="A26" s="291">
        <v>16</v>
      </c>
      <c r="B26" s="397" t="s">
        <v>927</v>
      </c>
      <c r="C26" s="1105"/>
      <c r="D26" s="1106"/>
      <c r="E26" s="1106"/>
      <c r="F26" s="1106"/>
      <c r="G26" s="1106"/>
      <c r="H26" s="1106"/>
      <c r="I26" s="1106"/>
      <c r="J26" s="1106"/>
      <c r="K26" s="1106"/>
      <c r="L26" s="1106"/>
      <c r="M26" s="1107"/>
    </row>
    <row r="27" spans="1:13" ht="15">
      <c r="A27" s="291">
        <v>17</v>
      </c>
      <c r="B27" s="397" t="s">
        <v>928</v>
      </c>
      <c r="C27" s="1105"/>
      <c r="D27" s="1106"/>
      <c r="E27" s="1106"/>
      <c r="F27" s="1106"/>
      <c r="G27" s="1106"/>
      <c r="H27" s="1106"/>
      <c r="I27" s="1106"/>
      <c r="J27" s="1106"/>
      <c r="K27" s="1106"/>
      <c r="L27" s="1106"/>
      <c r="M27" s="1107"/>
    </row>
    <row r="28" spans="1:13" ht="15">
      <c r="A28" s="291">
        <v>18</v>
      </c>
      <c r="B28" s="398" t="s">
        <v>929</v>
      </c>
      <c r="C28" s="1105"/>
      <c r="D28" s="1106"/>
      <c r="E28" s="1106"/>
      <c r="F28" s="1106"/>
      <c r="G28" s="1106"/>
      <c r="H28" s="1106"/>
      <c r="I28" s="1106"/>
      <c r="J28" s="1106"/>
      <c r="K28" s="1106"/>
      <c r="L28" s="1106"/>
      <c r="M28" s="1107"/>
    </row>
    <row r="29" spans="1:13" ht="15">
      <c r="A29" s="291">
        <v>19</v>
      </c>
      <c r="B29" s="397" t="s">
        <v>930</v>
      </c>
      <c r="C29" s="1105"/>
      <c r="D29" s="1106"/>
      <c r="E29" s="1106"/>
      <c r="F29" s="1106"/>
      <c r="G29" s="1106"/>
      <c r="H29" s="1106"/>
      <c r="I29" s="1106"/>
      <c r="J29" s="1106"/>
      <c r="K29" s="1106"/>
      <c r="L29" s="1106"/>
      <c r="M29" s="1107"/>
    </row>
    <row r="30" spans="1:13" ht="15">
      <c r="A30" s="291">
        <v>20</v>
      </c>
      <c r="B30" s="398" t="s">
        <v>931</v>
      </c>
      <c r="C30" s="1105"/>
      <c r="D30" s="1106"/>
      <c r="E30" s="1106"/>
      <c r="F30" s="1106"/>
      <c r="G30" s="1106"/>
      <c r="H30" s="1106"/>
      <c r="I30" s="1106"/>
      <c r="J30" s="1106"/>
      <c r="K30" s="1106"/>
      <c r="L30" s="1106"/>
      <c r="M30" s="1107"/>
    </row>
    <row r="31" spans="1:13" ht="15">
      <c r="A31" s="291">
        <v>21</v>
      </c>
      <c r="B31" s="397" t="s">
        <v>932</v>
      </c>
      <c r="C31" s="1105"/>
      <c r="D31" s="1106"/>
      <c r="E31" s="1106"/>
      <c r="F31" s="1106"/>
      <c r="G31" s="1106"/>
      <c r="H31" s="1106"/>
      <c r="I31" s="1106"/>
      <c r="J31" s="1106"/>
      <c r="K31" s="1106"/>
      <c r="L31" s="1106"/>
      <c r="M31" s="1107"/>
    </row>
    <row r="32" spans="1:13" ht="15" customHeight="1">
      <c r="A32" s="291">
        <v>22</v>
      </c>
      <c r="B32" s="397" t="s">
        <v>933</v>
      </c>
      <c r="C32" s="1105"/>
      <c r="D32" s="1106"/>
      <c r="E32" s="1106"/>
      <c r="F32" s="1106"/>
      <c r="G32" s="1106"/>
      <c r="H32" s="1106"/>
      <c r="I32" s="1106"/>
      <c r="J32" s="1106"/>
      <c r="K32" s="1106"/>
      <c r="L32" s="1106"/>
      <c r="M32" s="1107"/>
    </row>
    <row r="33" spans="1:13" ht="15">
      <c r="A33" s="291">
        <v>23</v>
      </c>
      <c r="B33" s="397" t="s">
        <v>934</v>
      </c>
      <c r="C33" s="1105"/>
      <c r="D33" s="1106"/>
      <c r="E33" s="1106"/>
      <c r="F33" s="1106"/>
      <c r="G33" s="1106"/>
      <c r="H33" s="1106"/>
      <c r="I33" s="1106"/>
      <c r="J33" s="1106"/>
      <c r="K33" s="1106"/>
      <c r="L33" s="1106"/>
      <c r="M33" s="1107"/>
    </row>
    <row r="34" spans="1:13" ht="15">
      <c r="A34" s="291">
        <v>24</v>
      </c>
      <c r="B34" s="397" t="s">
        <v>935</v>
      </c>
      <c r="C34" s="1105"/>
      <c r="D34" s="1106"/>
      <c r="E34" s="1106"/>
      <c r="F34" s="1106"/>
      <c r="G34" s="1106"/>
      <c r="H34" s="1106"/>
      <c r="I34" s="1106"/>
      <c r="J34" s="1106"/>
      <c r="K34" s="1106"/>
      <c r="L34" s="1106"/>
      <c r="M34" s="1107"/>
    </row>
    <row r="35" spans="1:13" ht="15">
      <c r="A35" s="291">
        <v>25</v>
      </c>
      <c r="B35" s="397" t="s">
        <v>936</v>
      </c>
      <c r="C35" s="1105"/>
      <c r="D35" s="1106"/>
      <c r="E35" s="1106"/>
      <c r="F35" s="1106"/>
      <c r="G35" s="1106"/>
      <c r="H35" s="1106"/>
      <c r="I35" s="1106"/>
      <c r="J35" s="1106"/>
      <c r="K35" s="1106"/>
      <c r="L35" s="1106"/>
      <c r="M35" s="1107"/>
    </row>
    <row r="36" spans="1:13" ht="16.5" customHeight="1">
      <c r="A36" s="291">
        <v>26</v>
      </c>
      <c r="B36" s="397" t="s">
        <v>937</v>
      </c>
      <c r="C36" s="1105"/>
      <c r="D36" s="1106"/>
      <c r="E36" s="1106"/>
      <c r="F36" s="1106"/>
      <c r="G36" s="1106"/>
      <c r="H36" s="1106"/>
      <c r="I36" s="1106"/>
      <c r="J36" s="1106"/>
      <c r="K36" s="1106"/>
      <c r="L36" s="1106"/>
      <c r="M36" s="1107"/>
    </row>
    <row r="37" spans="1:13" ht="15">
      <c r="A37" s="291">
        <v>27</v>
      </c>
      <c r="B37" s="397" t="s">
        <v>938</v>
      </c>
      <c r="C37" s="1105"/>
      <c r="D37" s="1106"/>
      <c r="E37" s="1106"/>
      <c r="F37" s="1106"/>
      <c r="G37" s="1106"/>
      <c r="H37" s="1106"/>
      <c r="I37" s="1106"/>
      <c r="J37" s="1106"/>
      <c r="K37" s="1106"/>
      <c r="L37" s="1106"/>
      <c r="M37" s="1107"/>
    </row>
    <row r="38" spans="1:13" ht="15">
      <c r="A38" s="291">
        <v>28</v>
      </c>
      <c r="B38" s="397" t="s">
        <v>939</v>
      </c>
      <c r="C38" s="1105"/>
      <c r="D38" s="1106"/>
      <c r="E38" s="1106"/>
      <c r="F38" s="1106"/>
      <c r="G38" s="1106"/>
      <c r="H38" s="1106"/>
      <c r="I38" s="1106"/>
      <c r="J38" s="1106"/>
      <c r="K38" s="1106"/>
      <c r="L38" s="1106"/>
      <c r="M38" s="1107"/>
    </row>
    <row r="39" spans="1:13" ht="15">
      <c r="A39" s="291">
        <v>29</v>
      </c>
      <c r="B39" s="397" t="s">
        <v>940</v>
      </c>
      <c r="C39" s="1105"/>
      <c r="D39" s="1106"/>
      <c r="E39" s="1106"/>
      <c r="F39" s="1106"/>
      <c r="G39" s="1106"/>
      <c r="H39" s="1106"/>
      <c r="I39" s="1106"/>
      <c r="J39" s="1106"/>
      <c r="K39" s="1106"/>
      <c r="L39" s="1106"/>
      <c r="M39" s="1107"/>
    </row>
    <row r="40" spans="1:13" ht="15">
      <c r="A40" s="291">
        <v>30</v>
      </c>
      <c r="B40" s="397" t="s">
        <v>941</v>
      </c>
      <c r="C40" s="1105"/>
      <c r="D40" s="1106"/>
      <c r="E40" s="1106"/>
      <c r="F40" s="1106"/>
      <c r="G40" s="1106"/>
      <c r="H40" s="1106"/>
      <c r="I40" s="1106"/>
      <c r="J40" s="1106"/>
      <c r="K40" s="1106"/>
      <c r="L40" s="1106"/>
      <c r="M40" s="1107"/>
    </row>
    <row r="41" spans="1:13" ht="15">
      <c r="A41" s="291">
        <v>31</v>
      </c>
      <c r="B41" s="397" t="s">
        <v>942</v>
      </c>
      <c r="C41" s="1105"/>
      <c r="D41" s="1106"/>
      <c r="E41" s="1106"/>
      <c r="F41" s="1106"/>
      <c r="G41" s="1106"/>
      <c r="H41" s="1106"/>
      <c r="I41" s="1106"/>
      <c r="J41" s="1106"/>
      <c r="K41" s="1106"/>
      <c r="L41" s="1106"/>
      <c r="M41" s="1107"/>
    </row>
    <row r="42" spans="1:13" ht="15">
      <c r="A42" s="291">
        <v>32</v>
      </c>
      <c r="B42" s="397" t="s">
        <v>943</v>
      </c>
      <c r="C42" s="1105"/>
      <c r="D42" s="1106"/>
      <c r="E42" s="1106"/>
      <c r="F42" s="1106"/>
      <c r="G42" s="1106"/>
      <c r="H42" s="1106"/>
      <c r="I42" s="1106"/>
      <c r="J42" s="1106"/>
      <c r="K42" s="1106"/>
      <c r="L42" s="1106"/>
      <c r="M42" s="1107"/>
    </row>
    <row r="43" spans="1:13" ht="15">
      <c r="A43" s="291">
        <v>33</v>
      </c>
      <c r="B43" s="397" t="s">
        <v>944</v>
      </c>
      <c r="C43" s="1105"/>
      <c r="D43" s="1106"/>
      <c r="E43" s="1106"/>
      <c r="F43" s="1106"/>
      <c r="G43" s="1106"/>
      <c r="H43" s="1106"/>
      <c r="I43" s="1106"/>
      <c r="J43" s="1106"/>
      <c r="K43" s="1106"/>
      <c r="L43" s="1106"/>
      <c r="M43" s="1107"/>
    </row>
    <row r="44" spans="1:13" ht="15">
      <c r="A44" s="291">
        <v>34</v>
      </c>
      <c r="B44" s="397" t="s">
        <v>987</v>
      </c>
      <c r="C44" s="1105"/>
      <c r="D44" s="1106"/>
      <c r="E44" s="1106"/>
      <c r="F44" s="1106"/>
      <c r="G44" s="1106"/>
      <c r="H44" s="1106"/>
      <c r="I44" s="1106"/>
      <c r="J44" s="1106"/>
      <c r="K44" s="1106"/>
      <c r="L44" s="1106"/>
      <c r="M44" s="1107"/>
    </row>
    <row r="45" spans="1:13">
      <c r="A45" s="27" t="s">
        <v>17</v>
      </c>
      <c r="B45" s="9"/>
      <c r="C45" s="1108"/>
      <c r="D45" s="1109"/>
      <c r="E45" s="1109"/>
      <c r="F45" s="1109"/>
      <c r="G45" s="1109"/>
      <c r="H45" s="1109"/>
      <c r="I45" s="1109"/>
      <c r="J45" s="1109"/>
      <c r="K45" s="1109"/>
      <c r="L45" s="1109"/>
      <c r="M45" s="1110"/>
    </row>
    <row r="46" spans="1:13" ht="15.75" customHeight="1">
      <c r="B46" s="236"/>
      <c r="C46" s="1111"/>
      <c r="D46" s="1111"/>
      <c r="E46" s="1111"/>
      <c r="F46" s="1111"/>
    </row>
    <row r="47" spans="1:13" hidden="1"/>
    <row r="49" spans="1:13">
      <c r="B49" s="236"/>
      <c r="C49" s="465"/>
      <c r="D49" s="465"/>
      <c r="E49" s="465"/>
      <c r="F49" s="465"/>
    </row>
    <row r="51" spans="1:13">
      <c r="A51" s="803" t="s">
        <v>906</v>
      </c>
      <c r="B51" s="803"/>
      <c r="C51" s="803"/>
      <c r="D51" s="204"/>
      <c r="I51" s="901" t="s">
        <v>12</v>
      </c>
      <c r="J51" s="901"/>
      <c r="K51" s="901"/>
      <c r="L51" s="462"/>
    </row>
    <row r="52" spans="1:13">
      <c r="A52" s="804" t="s">
        <v>907</v>
      </c>
      <c r="B52" s="804"/>
      <c r="C52" s="804"/>
      <c r="D52" s="204"/>
      <c r="G52" s="901" t="s">
        <v>13</v>
      </c>
      <c r="H52" s="901"/>
      <c r="I52" s="901"/>
      <c r="J52" s="901"/>
      <c r="K52" s="901"/>
      <c r="L52" s="901"/>
      <c r="M52" s="901"/>
    </row>
    <row r="53" spans="1:13">
      <c r="A53" s="804" t="s">
        <v>908</v>
      </c>
      <c r="B53" s="804"/>
      <c r="C53" s="804"/>
      <c r="D53" s="204"/>
      <c r="G53" s="901" t="s">
        <v>87</v>
      </c>
      <c r="H53" s="901"/>
      <c r="I53" s="901"/>
      <c r="J53" s="901"/>
      <c r="K53" s="901"/>
      <c r="L53" s="901"/>
      <c r="M53" s="901"/>
    </row>
    <row r="54" spans="1:13">
      <c r="A54" s="204" t="s">
        <v>11</v>
      </c>
      <c r="C54" s="204"/>
      <c r="D54" s="204"/>
      <c r="G54" s="897"/>
      <c r="H54" s="897"/>
      <c r="I54" s="897" t="s">
        <v>84</v>
      </c>
      <c r="J54" s="897"/>
      <c r="K54" s="463"/>
      <c r="L54" s="463"/>
    </row>
  </sheetData>
  <mergeCells count="21">
    <mergeCell ref="B2:L2"/>
    <mergeCell ref="L1:M1"/>
    <mergeCell ref="C1:I1"/>
    <mergeCell ref="C46:F46"/>
    <mergeCell ref="H6:L8"/>
    <mergeCell ref="H5:M5"/>
    <mergeCell ref="A4:M4"/>
    <mergeCell ref="A5:G5"/>
    <mergeCell ref="M6:M9"/>
    <mergeCell ref="A6:A9"/>
    <mergeCell ref="B6:B9"/>
    <mergeCell ref="C6:G8"/>
    <mergeCell ref="A53:C53"/>
    <mergeCell ref="G53:M53"/>
    <mergeCell ref="G54:H54"/>
    <mergeCell ref="I54:J54"/>
    <mergeCell ref="C11:M45"/>
    <mergeCell ref="A51:C51"/>
    <mergeCell ref="I51:K51"/>
    <mergeCell ref="A52:C52"/>
    <mergeCell ref="G52:M52"/>
  </mergeCells>
  <printOptions horizontalCentered="1"/>
  <pageMargins left="0.70866141732283472" right="0.70866141732283472" top="0.23622047244094491" bottom="0" header="0.31496062992125984" footer="0.31496062992125984"/>
  <pageSetup paperSize="9" scale="74" orientation="landscape" r:id="rId1"/>
  <colBreaks count="1" manualBreakCount="1">
    <brk id="13" max="1048575" man="1"/>
  </colBreaks>
</worksheet>
</file>

<file path=xl/worksheets/sheet54.xml><?xml version="1.0" encoding="utf-8"?>
<worksheet xmlns="http://schemas.openxmlformats.org/spreadsheetml/2006/main" xmlns:r="http://schemas.openxmlformats.org/officeDocument/2006/relationships">
  <sheetPr codeName="Sheet54">
    <pageSetUpPr fitToPage="1"/>
  </sheetPr>
  <dimension ref="A1:L49"/>
  <sheetViews>
    <sheetView topLeftCell="A19" zoomScaleSheetLayoutView="63" workbookViewId="0">
      <pane xSplit="1" ySplit="3" topLeftCell="B40" activePane="bottomRight" state="frozen"/>
      <selection activeCell="A19" sqref="A19"/>
      <selection pane="topRight" activeCell="B19" sqref="B19"/>
      <selection pane="bottomLeft" activeCell="A22" sqref="A22"/>
      <selection pane="bottomRight" activeCell="E43" sqref="E43"/>
    </sheetView>
  </sheetViews>
  <sheetFormatPr defaultRowHeight="12.75"/>
  <cols>
    <col min="1" max="1" width="40.85546875" customWidth="1"/>
    <col min="2" max="2" width="14.7109375" customWidth="1"/>
    <col min="3" max="3" width="16" customWidth="1"/>
    <col min="4" max="4" width="17.5703125" customWidth="1"/>
    <col min="5" max="5" width="50" customWidth="1"/>
    <col min="6" max="6" width="37.85546875" customWidth="1"/>
  </cols>
  <sheetData>
    <row r="1" spans="1:12" ht="18">
      <c r="A1" s="911" t="s">
        <v>0</v>
      </c>
      <c r="B1" s="911"/>
      <c r="C1" s="911"/>
      <c r="D1" s="911"/>
      <c r="E1" s="911"/>
      <c r="F1" s="237" t="s">
        <v>533</v>
      </c>
      <c r="G1" s="227"/>
      <c r="H1" s="227"/>
      <c r="I1" s="227"/>
      <c r="J1" s="227"/>
      <c r="K1" s="227"/>
      <c r="L1" s="227"/>
    </row>
    <row r="2" spans="1:12" ht="21">
      <c r="A2" s="912" t="s">
        <v>745</v>
      </c>
      <c r="B2" s="912"/>
      <c r="C2" s="912"/>
      <c r="D2" s="912"/>
      <c r="E2" s="912"/>
      <c r="F2" s="912"/>
      <c r="G2" s="228"/>
      <c r="H2" s="228"/>
      <c r="I2" s="228"/>
      <c r="J2" s="228"/>
      <c r="K2" s="228"/>
      <c r="L2" s="228"/>
    </row>
    <row r="3" spans="1:12">
      <c r="A3" s="158"/>
      <c r="B3" s="158"/>
      <c r="C3" s="158"/>
      <c r="D3" s="158"/>
      <c r="E3" s="158"/>
      <c r="F3" s="158"/>
    </row>
    <row r="4" spans="1:12" ht="18.75">
      <c r="A4" s="1123" t="s">
        <v>532</v>
      </c>
      <c r="B4" s="1123"/>
      <c r="C4" s="1123"/>
      <c r="D4" s="1123"/>
      <c r="E4" s="1123"/>
      <c r="F4" s="1123"/>
      <c r="G4" s="1123"/>
    </row>
    <row r="5" spans="1:12" ht="18.75">
      <c r="A5" s="198" t="s">
        <v>253</v>
      </c>
      <c r="B5" s="238"/>
      <c r="C5" s="238"/>
      <c r="D5" s="238"/>
      <c r="E5" s="238"/>
      <c r="F5" s="238"/>
      <c r="G5" s="238"/>
    </row>
    <row r="6" spans="1:12" ht="47.25">
      <c r="A6" s="239"/>
      <c r="B6" s="240" t="s">
        <v>320</v>
      </c>
      <c r="C6" s="240" t="s">
        <v>321</v>
      </c>
      <c r="D6" s="240" t="s">
        <v>322</v>
      </c>
      <c r="E6" s="241"/>
      <c r="F6" s="241"/>
    </row>
    <row r="7" spans="1:12" ht="15">
      <c r="A7" s="320" t="s">
        <v>323</v>
      </c>
      <c r="B7" s="242"/>
      <c r="C7" s="242"/>
      <c r="D7" s="242"/>
      <c r="E7" s="241"/>
      <c r="F7" s="241"/>
    </row>
    <row r="8" spans="1:12" ht="13.5" customHeight="1">
      <c r="A8" s="242" t="s">
        <v>324</v>
      </c>
      <c r="B8" s="242"/>
      <c r="C8" s="242"/>
      <c r="D8" s="242"/>
      <c r="E8" s="241"/>
      <c r="F8" s="241"/>
    </row>
    <row r="9" spans="1:12" ht="13.5" customHeight="1">
      <c r="A9" s="242" t="s">
        <v>325</v>
      </c>
      <c r="B9" s="242"/>
      <c r="C9" s="242"/>
      <c r="D9" s="242"/>
      <c r="E9" s="241"/>
      <c r="F9" s="241"/>
    </row>
    <row r="10" spans="1:12" ht="13.5" customHeight="1">
      <c r="A10" s="243" t="s">
        <v>326</v>
      </c>
      <c r="B10" s="242"/>
      <c r="C10" s="242"/>
      <c r="D10" s="242"/>
      <c r="E10" s="241"/>
      <c r="F10" s="241"/>
    </row>
    <row r="11" spans="1:12" ht="13.5" customHeight="1">
      <c r="A11" s="243" t="s">
        <v>327</v>
      </c>
      <c r="B11" s="242"/>
      <c r="C11" s="242"/>
      <c r="D11" s="242"/>
      <c r="E11" s="241"/>
      <c r="F11" s="241"/>
    </row>
    <row r="12" spans="1:12" ht="13.5" customHeight="1">
      <c r="A12" s="243" t="s">
        <v>328</v>
      </c>
      <c r="B12" s="242"/>
      <c r="C12" s="242"/>
      <c r="D12" s="242"/>
      <c r="E12" s="241"/>
      <c r="F12" s="241"/>
    </row>
    <row r="13" spans="1:12" ht="13.5" customHeight="1">
      <c r="A13" s="243" t="s">
        <v>329</v>
      </c>
      <c r="B13" s="242"/>
      <c r="C13" s="242"/>
      <c r="D13" s="242"/>
      <c r="E13" s="241"/>
      <c r="F13" s="241"/>
    </row>
    <row r="14" spans="1:12" ht="13.5" customHeight="1">
      <c r="A14" s="243" t="s">
        <v>330</v>
      </c>
      <c r="B14" s="242"/>
      <c r="C14" s="242"/>
      <c r="D14" s="242"/>
      <c r="E14" s="241"/>
      <c r="F14" s="241"/>
    </row>
    <row r="15" spans="1:12" ht="13.5" customHeight="1">
      <c r="A15" s="243" t="s">
        <v>331</v>
      </c>
      <c r="B15" s="242"/>
      <c r="C15" s="242"/>
      <c r="D15" s="242"/>
      <c r="E15" s="241"/>
      <c r="F15" s="241"/>
    </row>
    <row r="16" spans="1:12" ht="13.5" customHeight="1">
      <c r="A16" s="243" t="s">
        <v>332</v>
      </c>
      <c r="B16" s="242"/>
      <c r="C16" s="242"/>
      <c r="D16" s="242"/>
      <c r="E16" s="241"/>
      <c r="F16" s="241"/>
    </row>
    <row r="17" spans="1:7" ht="13.5" customHeight="1">
      <c r="A17" s="243" t="s">
        <v>333</v>
      </c>
      <c r="B17" s="242"/>
      <c r="C17" s="242"/>
      <c r="D17" s="242"/>
      <c r="E17" s="241"/>
      <c r="F17" s="241"/>
    </row>
    <row r="18" spans="1:7" ht="13.5" customHeight="1">
      <c r="A18" s="244"/>
      <c r="B18" s="245"/>
      <c r="C18" s="245"/>
      <c r="D18" s="245"/>
      <c r="E18" s="241"/>
      <c r="F18" s="241"/>
    </row>
    <row r="19" spans="1:7" ht="13.5" customHeight="1">
      <c r="A19" s="1124" t="s">
        <v>334</v>
      </c>
      <c r="B19" s="1124"/>
      <c r="C19" s="1124"/>
      <c r="D19" s="1124"/>
      <c r="E19" s="1124"/>
      <c r="F19" s="1124"/>
      <c r="G19" s="1124"/>
    </row>
    <row r="20" spans="1:7" ht="15">
      <c r="A20" s="241"/>
      <c r="B20" s="241"/>
      <c r="C20" s="241"/>
      <c r="D20" s="241"/>
      <c r="E20" s="1125" t="s">
        <v>886</v>
      </c>
      <c r="F20" s="1125"/>
      <c r="G20" s="112"/>
    </row>
    <row r="21" spans="1:7" ht="46.15" customHeight="1">
      <c r="A21" s="231" t="s">
        <v>424</v>
      </c>
      <c r="B21" s="231" t="s">
        <v>3</v>
      </c>
      <c r="C21" s="246" t="s">
        <v>335</v>
      </c>
      <c r="D21" s="247" t="s">
        <v>336</v>
      </c>
      <c r="E21" s="298" t="s">
        <v>337</v>
      </c>
      <c r="F21" s="298" t="s">
        <v>338</v>
      </c>
      <c r="G21" s="12"/>
    </row>
    <row r="22" spans="1:7" ht="15">
      <c r="A22" s="242" t="s">
        <v>339</v>
      </c>
      <c r="B22" s="242"/>
      <c r="C22" s="242"/>
      <c r="D22" s="248"/>
      <c r="E22" s="249"/>
      <c r="F22" s="249"/>
    </row>
    <row r="23" spans="1:7" ht="15">
      <c r="A23" s="242" t="s">
        <v>340</v>
      </c>
      <c r="B23" s="242"/>
      <c r="C23" s="242"/>
      <c r="D23" s="248"/>
      <c r="E23" s="249"/>
      <c r="F23" s="249"/>
    </row>
    <row r="24" spans="1:7" ht="15">
      <c r="A24" s="242" t="s">
        <v>341</v>
      </c>
      <c r="B24" s="242"/>
      <c r="C24" s="9"/>
      <c r="D24" s="248"/>
      <c r="E24" s="249"/>
      <c r="F24" s="249"/>
    </row>
    <row r="25" spans="1:7" ht="25.5">
      <c r="A25" s="242" t="s">
        <v>342</v>
      </c>
      <c r="B25" s="242"/>
      <c r="C25" s="9"/>
      <c r="D25" s="248"/>
      <c r="E25" s="249"/>
      <c r="F25" s="249"/>
    </row>
    <row r="26" spans="1:7" ht="32.25" customHeight="1">
      <c r="A26" s="242" t="s">
        <v>343</v>
      </c>
      <c r="B26" s="242"/>
      <c r="C26" s="9"/>
      <c r="D26" s="248"/>
      <c r="E26" s="249"/>
      <c r="F26" s="249"/>
    </row>
    <row r="27" spans="1:7" ht="15">
      <c r="A27" s="242" t="s">
        <v>344</v>
      </c>
      <c r="B27" s="242"/>
      <c r="C27" s="9"/>
      <c r="D27" s="248"/>
      <c r="E27" s="249"/>
      <c r="F27" s="249"/>
    </row>
    <row r="28" spans="1:7" ht="15">
      <c r="A28" s="242" t="s">
        <v>345</v>
      </c>
      <c r="B28" s="242"/>
      <c r="C28" s="9"/>
      <c r="D28" s="248"/>
      <c r="E28" s="249"/>
      <c r="F28" s="249"/>
    </row>
    <row r="29" spans="1:7" ht="15">
      <c r="A29" s="242" t="s">
        <v>346</v>
      </c>
      <c r="B29" s="242"/>
      <c r="C29" s="242"/>
      <c r="D29" s="248"/>
      <c r="E29" s="249"/>
      <c r="F29" s="249"/>
    </row>
    <row r="30" spans="1:7" ht="15">
      <c r="A30" s="242" t="s">
        <v>347</v>
      </c>
      <c r="B30" s="242"/>
      <c r="C30" s="242"/>
      <c r="D30" s="248"/>
      <c r="E30" s="249"/>
      <c r="F30" s="249"/>
    </row>
    <row r="31" spans="1:7" ht="15">
      <c r="A31" s="242" t="s">
        <v>348</v>
      </c>
      <c r="B31" s="242"/>
      <c r="C31" s="242"/>
      <c r="D31" s="248"/>
      <c r="E31" s="249"/>
      <c r="F31" s="249"/>
    </row>
    <row r="32" spans="1:7" ht="15">
      <c r="A32" s="242" t="s">
        <v>349</v>
      </c>
      <c r="B32" s="242"/>
      <c r="C32" s="242"/>
      <c r="D32" s="248"/>
      <c r="E32" s="249"/>
      <c r="F32" s="249"/>
    </row>
    <row r="33" spans="1:7" ht="15">
      <c r="A33" s="242" t="s">
        <v>350</v>
      </c>
      <c r="B33" s="242"/>
      <c r="C33" s="242"/>
      <c r="D33" s="248"/>
      <c r="E33" s="249"/>
      <c r="F33" s="249"/>
    </row>
    <row r="34" spans="1:7" ht="15">
      <c r="A34" s="242" t="s">
        <v>351</v>
      </c>
      <c r="B34" s="242"/>
      <c r="C34" s="242"/>
      <c r="D34" s="248"/>
      <c r="E34" s="249"/>
      <c r="F34" s="249"/>
    </row>
    <row r="35" spans="1:7" ht="15">
      <c r="A35" s="242" t="s">
        <v>352</v>
      </c>
      <c r="B35" s="242"/>
      <c r="C35" s="242"/>
      <c r="D35" s="248"/>
      <c r="E35" s="249"/>
      <c r="F35" s="249"/>
    </row>
    <row r="36" spans="1:7" ht="15">
      <c r="A36" s="242" t="s">
        <v>353</v>
      </c>
      <c r="B36" s="242"/>
      <c r="C36" s="242"/>
      <c r="D36" s="248"/>
      <c r="E36" s="249"/>
      <c r="F36" s="249"/>
    </row>
    <row r="37" spans="1:7" ht="171">
      <c r="A37" s="1120" t="s">
        <v>354</v>
      </c>
      <c r="B37" s="727" t="s">
        <v>1164</v>
      </c>
      <c r="C37" s="725">
        <v>1</v>
      </c>
      <c r="D37" s="729" t="s">
        <v>1167</v>
      </c>
      <c r="E37" s="726" t="s">
        <v>1200</v>
      </c>
      <c r="F37" s="726" t="s">
        <v>1168</v>
      </c>
    </row>
    <row r="38" spans="1:7" s="698" customFormat="1" ht="128.25">
      <c r="A38" s="1121"/>
      <c r="B38" s="728" t="s">
        <v>1165</v>
      </c>
      <c r="C38" s="725">
        <v>1</v>
      </c>
      <c r="D38" s="729" t="s">
        <v>1169</v>
      </c>
      <c r="E38" s="726" t="s">
        <v>1201</v>
      </c>
      <c r="F38" s="726" t="s">
        <v>1170</v>
      </c>
    </row>
    <row r="39" spans="1:7" s="698" customFormat="1" ht="99.75">
      <c r="A39" s="1121"/>
      <c r="B39" s="728" t="s">
        <v>936</v>
      </c>
      <c r="C39" s="725">
        <v>1</v>
      </c>
      <c r="D39" s="729" t="s">
        <v>1171</v>
      </c>
      <c r="E39" s="726" t="s">
        <v>1198</v>
      </c>
      <c r="F39" s="726" t="s">
        <v>1172</v>
      </c>
    </row>
    <row r="40" spans="1:7" s="698" customFormat="1" ht="142.5">
      <c r="A40" s="1122"/>
      <c r="B40" s="728" t="s">
        <v>1166</v>
      </c>
      <c r="C40" s="725">
        <v>1</v>
      </c>
      <c r="D40" s="729" t="s">
        <v>1173</v>
      </c>
      <c r="E40" s="726" t="s">
        <v>1199</v>
      </c>
      <c r="F40" s="726" t="s">
        <v>1174</v>
      </c>
    </row>
    <row r="41" spans="1:7" ht="15">
      <c r="A41" s="242" t="s">
        <v>47</v>
      </c>
      <c r="B41" s="242"/>
      <c r="C41" s="242"/>
      <c r="D41" s="248"/>
      <c r="E41" s="249"/>
      <c r="F41" s="249"/>
    </row>
    <row r="42" spans="1:7" ht="15">
      <c r="A42" s="250" t="s">
        <v>17</v>
      </c>
      <c r="B42" s="242"/>
      <c r="C42" s="242"/>
      <c r="D42" s="248"/>
      <c r="E42" s="249"/>
      <c r="F42" s="249"/>
    </row>
    <row r="46" spans="1:7" ht="15" customHeight="1">
      <c r="A46" s="803" t="s">
        <v>906</v>
      </c>
      <c r="B46" s="803"/>
      <c r="C46" s="803"/>
      <c r="E46" s="781" t="s">
        <v>12</v>
      </c>
      <c r="F46" s="219"/>
      <c r="G46" s="205"/>
    </row>
    <row r="47" spans="1:7" ht="15" customHeight="1">
      <c r="A47" s="804" t="s">
        <v>907</v>
      </c>
      <c r="B47" s="804"/>
      <c r="C47" s="804"/>
      <c r="E47" s="781" t="s">
        <v>13</v>
      </c>
      <c r="F47" s="205"/>
      <c r="G47" s="205"/>
    </row>
    <row r="48" spans="1:7" ht="15" customHeight="1">
      <c r="A48" s="804" t="s">
        <v>908</v>
      </c>
      <c r="B48" s="804"/>
      <c r="C48" s="804"/>
      <c r="E48" s="781" t="s">
        <v>87</v>
      </c>
      <c r="F48" s="205"/>
      <c r="G48" s="205"/>
    </row>
    <row r="49" spans="1:7">
      <c r="A49" s="204" t="s">
        <v>11</v>
      </c>
      <c r="C49" s="204"/>
      <c r="E49" s="782" t="s">
        <v>84</v>
      </c>
      <c r="F49" s="206"/>
      <c r="G49" s="209"/>
    </row>
  </sheetData>
  <mergeCells count="9">
    <mergeCell ref="A37:A40"/>
    <mergeCell ref="A46:C46"/>
    <mergeCell ref="A47:C47"/>
    <mergeCell ref="A48:C48"/>
    <mergeCell ref="A1:E1"/>
    <mergeCell ref="A2:F2"/>
    <mergeCell ref="A4:G4"/>
    <mergeCell ref="A19:G19"/>
    <mergeCell ref="E20:F20"/>
  </mergeCells>
  <printOptions horizontalCentered="1"/>
  <pageMargins left="0.70866141732283472" right="0.70866141732283472" top="0.23622047244094491" bottom="0" header="0.31496062992125984" footer="0.31496062992125984"/>
  <pageSetup paperSize="9" scale="45" orientation="landscape" r:id="rId1"/>
</worksheet>
</file>

<file path=xl/worksheets/sheet55.xml><?xml version="1.0" encoding="utf-8"?>
<worksheet xmlns="http://schemas.openxmlformats.org/spreadsheetml/2006/main" xmlns:r="http://schemas.openxmlformats.org/officeDocument/2006/relationships">
  <sheetPr codeName="Sheet55">
    <pageSetUpPr fitToPage="1"/>
  </sheetPr>
  <dimension ref="B2:H13"/>
  <sheetViews>
    <sheetView zoomScaleSheetLayoutView="90" workbookViewId="0">
      <selection activeCell="B4" sqref="B4:H13"/>
    </sheetView>
  </sheetViews>
  <sheetFormatPr defaultRowHeight="12.75"/>
  <sheetData>
    <row r="2" spans="2:8">
      <c r="B2" s="14"/>
    </row>
    <row r="4" spans="2:8" ht="12.75" customHeight="1">
      <c r="B4" s="1126" t="s">
        <v>750</v>
      </c>
      <c r="C4" s="1126"/>
      <c r="D4" s="1126"/>
      <c r="E4" s="1126"/>
      <c r="F4" s="1126"/>
      <c r="G4" s="1126"/>
      <c r="H4" s="1126"/>
    </row>
    <row r="5" spans="2:8" ht="12.75" customHeight="1">
      <c r="B5" s="1126"/>
      <c r="C5" s="1126"/>
      <c r="D5" s="1126"/>
      <c r="E5" s="1126"/>
      <c r="F5" s="1126"/>
      <c r="G5" s="1126"/>
      <c r="H5" s="1126"/>
    </row>
    <row r="6" spans="2:8" ht="12.75" customHeight="1">
      <c r="B6" s="1126"/>
      <c r="C6" s="1126"/>
      <c r="D6" s="1126"/>
      <c r="E6" s="1126"/>
      <c r="F6" s="1126"/>
      <c r="G6" s="1126"/>
      <c r="H6" s="1126"/>
    </row>
    <row r="7" spans="2:8" ht="12.75" customHeight="1">
      <c r="B7" s="1126"/>
      <c r="C7" s="1126"/>
      <c r="D7" s="1126"/>
      <c r="E7" s="1126"/>
      <c r="F7" s="1126"/>
      <c r="G7" s="1126"/>
      <c r="H7" s="1126"/>
    </row>
    <row r="8" spans="2:8" ht="12.75" customHeight="1">
      <c r="B8" s="1126"/>
      <c r="C8" s="1126"/>
      <c r="D8" s="1126"/>
      <c r="E8" s="1126"/>
      <c r="F8" s="1126"/>
      <c r="G8" s="1126"/>
      <c r="H8" s="1126"/>
    </row>
    <row r="9" spans="2:8" ht="12.75" customHeight="1">
      <c r="B9" s="1126"/>
      <c r="C9" s="1126"/>
      <c r="D9" s="1126"/>
      <c r="E9" s="1126"/>
      <c r="F9" s="1126"/>
      <c r="G9" s="1126"/>
      <c r="H9" s="1126"/>
    </row>
    <row r="10" spans="2:8" ht="12.75" customHeight="1">
      <c r="B10" s="1126"/>
      <c r="C10" s="1126"/>
      <c r="D10" s="1126"/>
      <c r="E10" s="1126"/>
      <c r="F10" s="1126"/>
      <c r="G10" s="1126"/>
      <c r="H10" s="1126"/>
    </row>
    <row r="11" spans="2:8" ht="12.75" customHeight="1">
      <c r="B11" s="1126"/>
      <c r="C11" s="1126"/>
      <c r="D11" s="1126"/>
      <c r="E11" s="1126"/>
      <c r="F11" s="1126"/>
      <c r="G11" s="1126"/>
      <c r="H11" s="1126"/>
    </row>
    <row r="12" spans="2:8" ht="12.75" customHeight="1">
      <c r="B12" s="1126"/>
      <c r="C12" s="1126"/>
      <c r="D12" s="1126"/>
      <c r="E12" s="1126"/>
      <c r="F12" s="1126"/>
      <c r="G12" s="1126"/>
      <c r="H12" s="1126"/>
    </row>
    <row r="13" spans="2:8" ht="12.75" customHeight="1">
      <c r="B13" s="1126"/>
      <c r="C13" s="1126"/>
      <c r="D13" s="1126"/>
      <c r="E13" s="1126"/>
      <c r="F13" s="1126"/>
      <c r="G13" s="1126"/>
      <c r="H13" s="1126"/>
    </row>
  </sheetData>
  <mergeCells count="1">
    <mergeCell ref="B4:H13"/>
  </mergeCells>
  <printOptions horizontalCentered="1"/>
  <pageMargins left="0.70866141732283472" right="0.70866141732283472" top="0.23622047244094491" bottom="0" header="0.31496062992125984" footer="0.31496062992125984"/>
  <pageSetup paperSize="9" orientation="landscape" verticalDpi="4294967295" r:id="rId1"/>
</worksheet>
</file>

<file path=xl/worksheets/sheet56.xml><?xml version="1.0" encoding="utf-8"?>
<worksheet xmlns="http://schemas.openxmlformats.org/spreadsheetml/2006/main" xmlns:r="http://schemas.openxmlformats.org/officeDocument/2006/relationships">
  <sheetPr codeName="Sheet56">
    <pageSetUpPr fitToPage="1"/>
  </sheetPr>
  <dimension ref="A1:T36"/>
  <sheetViews>
    <sheetView zoomScale="90" zoomScaleNormal="90" zoomScaleSheetLayoutView="100" workbookViewId="0">
      <selection activeCell="K14" sqref="K14"/>
    </sheetView>
  </sheetViews>
  <sheetFormatPr defaultRowHeight="14.25"/>
  <cols>
    <col min="1" max="1" width="4.7109375" style="46" customWidth="1"/>
    <col min="2" max="2" width="16.85546875" style="46" customWidth="1"/>
    <col min="3" max="3" width="11.7109375" style="46" customWidth="1"/>
    <col min="4" max="4" width="12" style="46" customWidth="1"/>
    <col min="5" max="5" width="12.140625" style="46" customWidth="1"/>
    <col min="6" max="6" width="17.42578125" style="46" customWidth="1"/>
    <col min="7" max="7" width="12.42578125" style="46" customWidth="1"/>
    <col min="8" max="8" width="16" style="46" customWidth="1"/>
    <col min="9" max="9" width="12.7109375" style="46" customWidth="1"/>
    <col min="10" max="10" width="15" style="46" customWidth="1"/>
    <col min="11" max="11" width="16" style="46" customWidth="1"/>
    <col min="12" max="12" width="11.85546875" style="46" customWidth="1"/>
    <col min="13" max="16384" width="9.140625" style="46"/>
  </cols>
  <sheetData>
    <row r="1" spans="1:20" ht="15" customHeight="1">
      <c r="C1" s="862"/>
      <c r="D1" s="862"/>
      <c r="E1" s="862"/>
      <c r="F1" s="862"/>
      <c r="G1" s="862"/>
      <c r="H1" s="862"/>
      <c r="I1" s="160"/>
      <c r="J1" s="962" t="s">
        <v>534</v>
      </c>
      <c r="K1" s="962"/>
    </row>
    <row r="2" spans="1:20" s="53" customFormat="1" ht="19.5" customHeight="1">
      <c r="A2" s="1128" t="s">
        <v>0</v>
      </c>
      <c r="B2" s="1128"/>
      <c r="C2" s="1128"/>
      <c r="D2" s="1128"/>
      <c r="E2" s="1128"/>
      <c r="F2" s="1128"/>
      <c r="G2" s="1128"/>
      <c r="H2" s="1128"/>
      <c r="I2" s="1128"/>
      <c r="J2" s="1128"/>
      <c r="K2" s="1128"/>
    </row>
    <row r="3" spans="1:20" s="53" customFormat="1" ht="19.5" customHeight="1">
      <c r="A3" s="1127" t="s">
        <v>745</v>
      </c>
      <c r="B3" s="1127"/>
      <c r="C3" s="1127"/>
      <c r="D3" s="1127"/>
      <c r="E3" s="1127"/>
      <c r="F3" s="1127"/>
      <c r="G3" s="1127"/>
      <c r="H3" s="1127"/>
      <c r="I3" s="1127"/>
      <c r="J3" s="1127"/>
      <c r="K3" s="1127"/>
    </row>
    <row r="4" spans="1:20" s="53" customFormat="1" ht="9" customHeight="1">
      <c r="A4" s="62"/>
      <c r="B4" s="62"/>
      <c r="C4" s="62"/>
      <c r="D4" s="62"/>
      <c r="E4" s="62"/>
      <c r="F4" s="62"/>
      <c r="G4" s="62"/>
      <c r="H4" s="62"/>
      <c r="I4" s="62"/>
      <c r="J4" s="62"/>
      <c r="K4" s="62"/>
    </row>
    <row r="5" spans="1:20" s="53" customFormat="1" ht="18" customHeight="1">
      <c r="A5" s="1019" t="s">
        <v>751</v>
      </c>
      <c r="B5" s="1019"/>
      <c r="C5" s="1019"/>
      <c r="D5" s="1019"/>
      <c r="E5" s="1019"/>
      <c r="F5" s="1019"/>
      <c r="G5" s="1019"/>
      <c r="H5" s="1019"/>
      <c r="I5" s="1019"/>
      <c r="J5" s="1019"/>
      <c r="K5" s="1019"/>
    </row>
    <row r="6" spans="1:20" ht="15.75">
      <c r="A6" s="850" t="s">
        <v>911</v>
      </c>
      <c r="B6" s="850"/>
      <c r="C6" s="106"/>
      <c r="D6" s="106"/>
      <c r="E6" s="106"/>
      <c r="F6" s="106"/>
      <c r="G6" s="106"/>
      <c r="H6" s="106"/>
      <c r="I6" s="106"/>
      <c r="J6" s="106"/>
      <c r="K6" s="106"/>
    </row>
    <row r="7" spans="1:20" ht="16.5" customHeight="1">
      <c r="A7" s="1130" t="s">
        <v>74</v>
      </c>
      <c r="B7" s="1130" t="s">
        <v>75</v>
      </c>
      <c r="C7" s="1130" t="s">
        <v>76</v>
      </c>
      <c r="D7" s="1130" t="s">
        <v>157</v>
      </c>
      <c r="E7" s="1130"/>
      <c r="F7" s="1130"/>
      <c r="G7" s="1130"/>
      <c r="H7" s="1130"/>
      <c r="I7" s="810" t="s">
        <v>237</v>
      </c>
      <c r="J7" s="1130" t="s">
        <v>77</v>
      </c>
      <c r="K7" s="1130" t="s">
        <v>479</v>
      </c>
      <c r="L7" s="1129" t="s">
        <v>78</v>
      </c>
      <c r="S7" s="52"/>
      <c r="T7" s="52"/>
    </row>
    <row r="8" spans="1:20" ht="33.75" customHeight="1">
      <c r="A8" s="1130"/>
      <c r="B8" s="1130"/>
      <c r="C8" s="1130"/>
      <c r="D8" s="1130" t="s">
        <v>79</v>
      </c>
      <c r="E8" s="1130" t="s">
        <v>80</v>
      </c>
      <c r="F8" s="1130"/>
      <c r="G8" s="1130"/>
      <c r="H8" s="48" t="s">
        <v>81</v>
      </c>
      <c r="I8" s="1131"/>
      <c r="J8" s="1130"/>
      <c r="K8" s="1130"/>
      <c r="L8" s="1129"/>
    </row>
    <row r="9" spans="1:20" ht="30">
      <c r="A9" s="1130"/>
      <c r="B9" s="1130"/>
      <c r="C9" s="1130"/>
      <c r="D9" s="1130"/>
      <c r="E9" s="48" t="s">
        <v>82</v>
      </c>
      <c r="F9" s="48" t="s">
        <v>83</v>
      </c>
      <c r="G9" s="48" t="s">
        <v>17</v>
      </c>
      <c r="H9" s="48"/>
      <c r="I9" s="811"/>
      <c r="J9" s="1130"/>
      <c r="K9" s="1130"/>
      <c r="L9" s="1129"/>
    </row>
    <row r="10" spans="1:20" s="148" customFormat="1" ht="17.100000000000001" customHeight="1">
      <c r="A10" s="147">
        <v>1</v>
      </c>
      <c r="B10" s="147">
        <v>2</v>
      </c>
      <c r="C10" s="147">
        <v>3</v>
      </c>
      <c r="D10" s="147">
        <v>4</v>
      </c>
      <c r="E10" s="147">
        <v>5</v>
      </c>
      <c r="F10" s="147">
        <v>6</v>
      </c>
      <c r="G10" s="147">
        <v>7</v>
      </c>
      <c r="H10" s="147">
        <v>8</v>
      </c>
      <c r="I10" s="147">
        <v>9</v>
      </c>
      <c r="J10" s="147">
        <v>10</v>
      </c>
      <c r="K10" s="147">
        <v>11</v>
      </c>
      <c r="L10" s="147">
        <v>12</v>
      </c>
    </row>
    <row r="11" spans="1:20" ht="17.100000000000001" customHeight="1">
      <c r="A11" s="55">
        <v>1</v>
      </c>
      <c r="B11" s="56" t="s">
        <v>834</v>
      </c>
      <c r="C11" s="50">
        <v>30</v>
      </c>
      <c r="D11" s="49">
        <v>14</v>
      </c>
      <c r="E11" s="49">
        <v>4</v>
      </c>
      <c r="F11" s="49">
        <v>2</v>
      </c>
      <c r="G11" s="49">
        <f>E11+F11</f>
        <v>6</v>
      </c>
      <c r="H11" s="49">
        <f>D11+G11</f>
        <v>20</v>
      </c>
      <c r="I11" s="49">
        <v>30</v>
      </c>
      <c r="J11" s="49">
        <v>30</v>
      </c>
      <c r="K11" s="49">
        <v>30</v>
      </c>
      <c r="L11" s="49"/>
    </row>
    <row r="12" spans="1:20" ht="17.100000000000001" customHeight="1">
      <c r="A12" s="55">
        <v>2</v>
      </c>
      <c r="B12" s="56" t="s">
        <v>835</v>
      </c>
      <c r="C12" s="50">
        <v>31</v>
      </c>
      <c r="D12" s="49">
        <v>24</v>
      </c>
      <c r="E12" s="49">
        <v>5</v>
      </c>
      <c r="F12" s="49">
        <v>0</v>
      </c>
      <c r="G12" s="49">
        <f t="shared" ref="G12:G22" si="0">E12+F12</f>
        <v>5</v>
      </c>
      <c r="H12" s="49">
        <f t="shared" ref="H12:H22" si="1">D12+G12</f>
        <v>29</v>
      </c>
      <c r="I12" s="49">
        <v>31</v>
      </c>
      <c r="J12" s="49">
        <v>31</v>
      </c>
      <c r="K12" s="49">
        <v>31</v>
      </c>
      <c r="L12" s="49"/>
    </row>
    <row r="13" spans="1:20" ht="17.100000000000001" customHeight="1">
      <c r="A13" s="55">
        <v>3</v>
      </c>
      <c r="B13" s="56" t="s">
        <v>836</v>
      </c>
      <c r="C13" s="50">
        <v>30</v>
      </c>
      <c r="D13" s="49">
        <v>0</v>
      </c>
      <c r="E13" s="49">
        <v>4</v>
      </c>
      <c r="F13" s="49">
        <v>0</v>
      </c>
      <c r="G13" s="49">
        <f t="shared" si="0"/>
        <v>4</v>
      </c>
      <c r="H13" s="49">
        <f t="shared" si="1"/>
        <v>4</v>
      </c>
      <c r="I13" s="49">
        <v>30</v>
      </c>
      <c r="J13" s="49">
        <f t="shared" ref="J13:J22" si="2">C13-H13</f>
        <v>26</v>
      </c>
      <c r="K13" s="49">
        <v>29</v>
      </c>
      <c r="L13" s="49"/>
    </row>
    <row r="14" spans="1:20" ht="17.100000000000001" customHeight="1">
      <c r="A14" s="55">
        <v>4</v>
      </c>
      <c r="B14" s="56" t="s">
        <v>837</v>
      </c>
      <c r="C14" s="50">
        <v>31</v>
      </c>
      <c r="D14" s="49">
        <v>0</v>
      </c>
      <c r="E14" s="49">
        <v>4</v>
      </c>
      <c r="F14" s="49">
        <v>0</v>
      </c>
      <c r="G14" s="49">
        <f t="shared" si="0"/>
        <v>4</v>
      </c>
      <c r="H14" s="49">
        <f t="shared" si="1"/>
        <v>4</v>
      </c>
      <c r="I14" s="49">
        <v>31</v>
      </c>
      <c r="J14" s="49">
        <f t="shared" si="2"/>
        <v>27</v>
      </c>
      <c r="K14" s="49">
        <v>27</v>
      </c>
      <c r="L14" s="49"/>
    </row>
    <row r="15" spans="1:20" ht="17.100000000000001" customHeight="1">
      <c r="A15" s="55">
        <v>5</v>
      </c>
      <c r="B15" s="56" t="s">
        <v>838</v>
      </c>
      <c r="C15" s="50">
        <v>31</v>
      </c>
      <c r="D15" s="49">
        <v>0</v>
      </c>
      <c r="E15" s="49">
        <v>5</v>
      </c>
      <c r="F15" s="49">
        <v>2</v>
      </c>
      <c r="G15" s="49">
        <f t="shared" si="0"/>
        <v>7</v>
      </c>
      <c r="H15" s="49">
        <f t="shared" si="1"/>
        <v>7</v>
      </c>
      <c r="I15" s="49">
        <v>31</v>
      </c>
      <c r="J15" s="49">
        <f t="shared" si="2"/>
        <v>24</v>
      </c>
      <c r="K15" s="49">
        <v>24</v>
      </c>
      <c r="L15" s="49"/>
    </row>
    <row r="16" spans="1:20" s="54" customFormat="1" ht="17.100000000000001" customHeight="1">
      <c r="A16" s="55">
        <v>6</v>
      </c>
      <c r="B16" s="56" t="s">
        <v>839</v>
      </c>
      <c r="C16" s="55">
        <v>30</v>
      </c>
      <c r="D16" s="56">
        <v>0</v>
      </c>
      <c r="E16" s="56">
        <v>4</v>
      </c>
      <c r="F16" s="56">
        <v>1</v>
      </c>
      <c r="G16" s="49">
        <f t="shared" si="0"/>
        <v>5</v>
      </c>
      <c r="H16" s="49">
        <f t="shared" si="1"/>
        <v>5</v>
      </c>
      <c r="I16" s="56">
        <v>30</v>
      </c>
      <c r="J16" s="49">
        <f t="shared" si="2"/>
        <v>25</v>
      </c>
      <c r="K16" s="56">
        <v>25</v>
      </c>
      <c r="L16" s="56"/>
    </row>
    <row r="17" spans="1:12" s="54" customFormat="1" ht="17.100000000000001" customHeight="1">
      <c r="A17" s="55">
        <v>7</v>
      </c>
      <c r="B17" s="56" t="s">
        <v>840</v>
      </c>
      <c r="C17" s="55">
        <v>31</v>
      </c>
      <c r="D17" s="56">
        <v>19</v>
      </c>
      <c r="E17" s="56">
        <v>4</v>
      </c>
      <c r="F17" s="56">
        <v>2</v>
      </c>
      <c r="G17" s="49">
        <f t="shared" si="0"/>
        <v>6</v>
      </c>
      <c r="H17" s="49">
        <f t="shared" si="1"/>
        <v>25</v>
      </c>
      <c r="I17" s="56">
        <v>31</v>
      </c>
      <c r="J17" s="49">
        <f t="shared" si="2"/>
        <v>6</v>
      </c>
      <c r="K17" s="56">
        <v>23</v>
      </c>
      <c r="L17" s="56"/>
    </row>
    <row r="18" spans="1:12" s="54" customFormat="1" ht="17.100000000000001" customHeight="1">
      <c r="A18" s="55">
        <v>8</v>
      </c>
      <c r="B18" s="56" t="s">
        <v>841</v>
      </c>
      <c r="C18" s="55">
        <v>30</v>
      </c>
      <c r="D18" s="56">
        <v>0</v>
      </c>
      <c r="E18" s="56">
        <v>5</v>
      </c>
      <c r="F18" s="56">
        <v>2</v>
      </c>
      <c r="G18" s="49">
        <f t="shared" si="0"/>
        <v>7</v>
      </c>
      <c r="H18" s="49">
        <f t="shared" si="1"/>
        <v>7</v>
      </c>
      <c r="I18" s="56">
        <v>30</v>
      </c>
      <c r="J18" s="49">
        <f t="shared" si="2"/>
        <v>23</v>
      </c>
      <c r="K18" s="56">
        <v>23</v>
      </c>
      <c r="L18" s="56"/>
    </row>
    <row r="19" spans="1:12" s="54" customFormat="1" ht="17.100000000000001" customHeight="1">
      <c r="A19" s="55">
        <v>9</v>
      </c>
      <c r="B19" s="56" t="s">
        <v>842</v>
      </c>
      <c r="C19" s="55">
        <v>31</v>
      </c>
      <c r="D19" s="56">
        <v>0</v>
      </c>
      <c r="E19" s="56">
        <v>4</v>
      </c>
      <c r="F19" s="56">
        <v>1</v>
      </c>
      <c r="G19" s="49">
        <f t="shared" si="0"/>
        <v>5</v>
      </c>
      <c r="H19" s="49">
        <f t="shared" si="1"/>
        <v>5</v>
      </c>
      <c r="I19" s="56">
        <v>31</v>
      </c>
      <c r="J19" s="49">
        <f t="shared" si="2"/>
        <v>26</v>
      </c>
      <c r="K19" s="56">
        <v>26</v>
      </c>
      <c r="L19" s="56"/>
    </row>
    <row r="20" spans="1:12" s="54" customFormat="1" ht="17.100000000000001" customHeight="1">
      <c r="A20" s="55">
        <v>10</v>
      </c>
      <c r="B20" s="56" t="s">
        <v>843</v>
      </c>
      <c r="C20" s="55">
        <v>31</v>
      </c>
      <c r="D20" s="56">
        <v>0</v>
      </c>
      <c r="E20" s="56">
        <v>5</v>
      </c>
      <c r="F20" s="56">
        <v>1</v>
      </c>
      <c r="G20" s="49">
        <f t="shared" si="0"/>
        <v>6</v>
      </c>
      <c r="H20" s="49">
        <f t="shared" si="1"/>
        <v>6</v>
      </c>
      <c r="I20" s="56">
        <v>31</v>
      </c>
      <c r="J20" s="49">
        <f t="shared" si="2"/>
        <v>25</v>
      </c>
      <c r="K20" s="56">
        <v>25</v>
      </c>
      <c r="L20" s="56"/>
    </row>
    <row r="21" spans="1:12" s="54" customFormat="1" ht="17.100000000000001" customHeight="1">
      <c r="A21" s="55">
        <v>11</v>
      </c>
      <c r="B21" s="56" t="s">
        <v>844</v>
      </c>
      <c r="C21" s="55">
        <v>28</v>
      </c>
      <c r="D21" s="56">
        <v>0</v>
      </c>
      <c r="E21" s="56">
        <v>4</v>
      </c>
      <c r="F21" s="56">
        <v>0</v>
      </c>
      <c r="G21" s="49">
        <f t="shared" si="0"/>
        <v>4</v>
      </c>
      <c r="H21" s="49">
        <f t="shared" si="1"/>
        <v>4</v>
      </c>
      <c r="I21" s="56">
        <v>28</v>
      </c>
      <c r="J21" s="49">
        <f t="shared" si="2"/>
        <v>24</v>
      </c>
      <c r="K21" s="56">
        <v>24</v>
      </c>
      <c r="L21" s="56"/>
    </row>
    <row r="22" spans="1:12" s="54" customFormat="1" ht="17.100000000000001" customHeight="1">
      <c r="A22" s="55">
        <v>12</v>
      </c>
      <c r="B22" s="56" t="s">
        <v>845</v>
      </c>
      <c r="C22" s="55">
        <v>31</v>
      </c>
      <c r="D22" s="56">
        <v>0</v>
      </c>
      <c r="E22" s="56">
        <v>4</v>
      </c>
      <c r="F22" s="56">
        <v>1</v>
      </c>
      <c r="G22" s="49">
        <f t="shared" si="0"/>
        <v>5</v>
      </c>
      <c r="H22" s="49">
        <f t="shared" si="1"/>
        <v>5</v>
      </c>
      <c r="I22" s="56">
        <v>31</v>
      </c>
      <c r="J22" s="49">
        <f t="shared" si="2"/>
        <v>26</v>
      </c>
      <c r="K22" s="56">
        <v>26</v>
      </c>
      <c r="L22" s="56"/>
    </row>
    <row r="23" spans="1:12" s="54" customFormat="1" ht="17.100000000000001" customHeight="1">
      <c r="A23" s="56"/>
      <c r="B23" s="58" t="s">
        <v>17</v>
      </c>
      <c r="C23" s="421">
        <f>SUM(C11:C22)</f>
        <v>365</v>
      </c>
      <c r="D23" s="57">
        <f>SUM(D11:D22)</f>
        <v>57</v>
      </c>
      <c r="E23" s="57">
        <f t="shared" ref="E23:L23" si="3">SUM(E11:E22)</f>
        <v>52</v>
      </c>
      <c r="F23" s="57">
        <f t="shared" si="3"/>
        <v>12</v>
      </c>
      <c r="G23" s="57">
        <f t="shared" si="3"/>
        <v>64</v>
      </c>
      <c r="H23" s="57">
        <f t="shared" si="3"/>
        <v>121</v>
      </c>
      <c r="I23" s="57">
        <f t="shared" si="3"/>
        <v>365</v>
      </c>
      <c r="J23" s="57">
        <f t="shared" si="3"/>
        <v>293</v>
      </c>
      <c r="K23" s="57">
        <f t="shared" si="3"/>
        <v>313</v>
      </c>
      <c r="L23" s="57">
        <f t="shared" si="3"/>
        <v>0</v>
      </c>
    </row>
    <row r="24" spans="1:12" s="54" customFormat="1" ht="17.100000000000001" customHeight="1">
      <c r="A24" s="59"/>
      <c r="B24" s="60"/>
      <c r="C24" s="61"/>
      <c r="D24" s="59"/>
      <c r="E24" s="59"/>
      <c r="F24" s="59"/>
      <c r="G24" s="1132" t="s">
        <v>954</v>
      </c>
      <c r="H24" s="1132"/>
      <c r="I24" s="1132"/>
      <c r="J24" s="436">
        <v>4</v>
      </c>
      <c r="K24" s="56"/>
      <c r="L24" s="59"/>
    </row>
    <row r="25" spans="1:12" s="54" customFormat="1" ht="17.100000000000001" customHeight="1">
      <c r="A25" s="59"/>
      <c r="B25" s="60"/>
      <c r="C25" s="61"/>
      <c r="D25" s="59"/>
      <c r="E25" s="59"/>
      <c r="F25" s="59"/>
      <c r="G25" s="1132" t="s">
        <v>955</v>
      </c>
      <c r="H25" s="1132"/>
      <c r="I25" s="1132"/>
      <c r="J25" s="436">
        <f>J23-J24</f>
        <v>289</v>
      </c>
      <c r="K25" s="56"/>
      <c r="L25" s="59"/>
    </row>
    <row r="26" spans="1:12" s="54" customFormat="1" ht="18" customHeight="1">
      <c r="A26" s="59"/>
      <c r="B26" s="60"/>
      <c r="C26" s="61"/>
      <c r="D26" s="59"/>
      <c r="E26" s="59"/>
      <c r="F26" s="59"/>
      <c r="G26" s="59"/>
      <c r="H26" s="59"/>
      <c r="I26" s="435" t="s">
        <v>42</v>
      </c>
      <c r="J26" s="435">
        <v>39</v>
      </c>
      <c r="K26" s="435">
        <v>49</v>
      </c>
    </row>
    <row r="27" spans="1:12" ht="15">
      <c r="A27" s="51" t="s">
        <v>108</v>
      </c>
      <c r="B27" s="51"/>
      <c r="C27" s="51"/>
      <c r="D27" s="51"/>
      <c r="E27" s="51"/>
      <c r="F27" s="51"/>
      <c r="G27" s="51"/>
      <c r="H27" s="51"/>
      <c r="I27" s="435" t="s">
        <v>20</v>
      </c>
      <c r="J27" s="434">
        <v>201</v>
      </c>
      <c r="K27" s="434">
        <v>247</v>
      </c>
    </row>
    <row r="28" spans="1:12" ht="15">
      <c r="A28" s="51"/>
      <c r="B28" s="51"/>
      <c r="C28" s="51"/>
      <c r="D28" s="51"/>
      <c r="E28" s="51"/>
      <c r="F28" s="51"/>
      <c r="G28" s="51"/>
      <c r="H28" s="51"/>
      <c r="I28" s="434" t="s">
        <v>17</v>
      </c>
      <c r="J28" s="434">
        <f>SUM(J26:J27)</f>
        <v>240</v>
      </c>
      <c r="K28" s="434">
        <f>SUM(K26:K27)</f>
        <v>296</v>
      </c>
    </row>
    <row r="29" spans="1:12" ht="17.25" customHeight="1">
      <c r="A29" s="51"/>
      <c r="B29" s="51"/>
      <c r="C29" s="51"/>
      <c r="D29" s="51"/>
      <c r="E29" s="51"/>
      <c r="F29" s="51"/>
      <c r="G29" s="51"/>
      <c r="H29" s="51"/>
      <c r="I29" s="51"/>
      <c r="J29" s="51"/>
    </row>
    <row r="31" spans="1:12" ht="15" customHeight="1">
      <c r="A31" s="420"/>
      <c r="B31" s="13"/>
      <c r="C31" s="13"/>
      <c r="D31" s="13"/>
      <c r="E31" s="13"/>
      <c r="I31" s="804" t="s">
        <v>12</v>
      </c>
      <c r="J31" s="804"/>
      <c r="K31" s="804"/>
    </row>
    <row r="32" spans="1:12" ht="15" customHeight="1">
      <c r="A32" s="803" t="s">
        <v>906</v>
      </c>
      <c r="B32" s="803"/>
      <c r="C32" s="803"/>
      <c r="D32" s="803"/>
      <c r="E32" s="375"/>
      <c r="I32" s="804" t="s">
        <v>13</v>
      </c>
      <c r="J32" s="804"/>
      <c r="K32" s="804"/>
    </row>
    <row r="33" spans="1:11" ht="15.75">
      <c r="A33" s="804" t="s">
        <v>907</v>
      </c>
      <c r="B33" s="804"/>
      <c r="C33" s="804"/>
      <c r="D33" s="804"/>
      <c r="E33" s="375"/>
      <c r="I33" s="804" t="s">
        <v>18</v>
      </c>
      <c r="J33" s="804"/>
      <c r="K33" s="804"/>
    </row>
    <row r="34" spans="1:11">
      <c r="A34" s="804" t="s">
        <v>908</v>
      </c>
      <c r="B34" s="804"/>
      <c r="C34" s="804"/>
      <c r="D34" s="804"/>
      <c r="E34"/>
      <c r="I34" s="420"/>
      <c r="J34" s="850" t="s">
        <v>84</v>
      </c>
      <c r="K34" s="850"/>
    </row>
    <row r="35" spans="1:11">
      <c r="A35" s="419"/>
      <c r="B35" s="419"/>
      <c r="C35" s="419"/>
      <c r="D35" s="419"/>
      <c r="E35" s="419"/>
      <c r="F35" s="420"/>
      <c r="G35" s="420"/>
      <c r="H35" s="420"/>
    </row>
    <row r="36" spans="1:11" ht="15.75">
      <c r="A36" s="13" t="s">
        <v>11</v>
      </c>
      <c r="B36" s="420"/>
      <c r="C36" s="420"/>
      <c r="D36" s="420"/>
      <c r="E36" s="420"/>
      <c r="F36" s="420"/>
      <c r="G36" s="420"/>
      <c r="H36" s="420"/>
    </row>
  </sheetData>
  <mergeCells count="25">
    <mergeCell ref="A33:D33"/>
    <mergeCell ref="I33:K33"/>
    <mergeCell ref="A34:D34"/>
    <mergeCell ref="J34:K34"/>
    <mergeCell ref="G24:I24"/>
    <mergeCell ref="G25:I25"/>
    <mergeCell ref="I31:K31"/>
    <mergeCell ref="A32:D32"/>
    <mergeCell ref="I32:K32"/>
    <mergeCell ref="L7:L9"/>
    <mergeCell ref="A5:K5"/>
    <mergeCell ref="A7:A9"/>
    <mergeCell ref="B7:B9"/>
    <mergeCell ref="C7:C9"/>
    <mergeCell ref="D7:H7"/>
    <mergeCell ref="J7:J9"/>
    <mergeCell ref="K7:K9"/>
    <mergeCell ref="D8:D9"/>
    <mergeCell ref="E8:G8"/>
    <mergeCell ref="I7:I9"/>
    <mergeCell ref="C1:H1"/>
    <mergeCell ref="J1:K1"/>
    <mergeCell ref="A3:K3"/>
    <mergeCell ref="A2:K2"/>
    <mergeCell ref="A6:B6"/>
  </mergeCells>
  <phoneticPr fontId="0" type="noConversion"/>
  <printOptions horizontalCentered="1"/>
  <pageMargins left="0.70866141732283472" right="0.70866141732283472" top="0.23622047244094491" bottom="0" header="0.31496062992125984" footer="0.31496062992125984"/>
  <pageSetup paperSize="9" scale="84" orientation="landscape" r:id="rId1"/>
</worksheet>
</file>

<file path=xl/worksheets/sheet57.xml><?xml version="1.0" encoding="utf-8"?>
<worksheet xmlns="http://schemas.openxmlformats.org/spreadsheetml/2006/main" xmlns:r="http://schemas.openxmlformats.org/officeDocument/2006/relationships">
  <sheetPr codeName="Sheet57">
    <pageSetUpPr fitToPage="1"/>
  </sheetPr>
  <dimension ref="A1:S36"/>
  <sheetViews>
    <sheetView topLeftCell="A7" zoomScaleSheetLayoutView="100" workbookViewId="0">
      <selection activeCell="K14" sqref="K14"/>
    </sheetView>
  </sheetViews>
  <sheetFormatPr defaultRowHeight="14.25"/>
  <cols>
    <col min="1" max="1" width="4.7109375" style="46" customWidth="1"/>
    <col min="2" max="2" width="16.5703125" style="46" customWidth="1"/>
    <col min="3" max="3" width="11.7109375" style="46" customWidth="1"/>
    <col min="4" max="4" width="12" style="46" customWidth="1"/>
    <col min="5" max="5" width="11.85546875" style="46" customWidth="1"/>
    <col min="6" max="6" width="18.85546875" style="46" customWidth="1"/>
    <col min="7" max="7" width="10.140625" style="46" customWidth="1"/>
    <col min="8" max="8" width="14.7109375" style="46" customWidth="1"/>
    <col min="9" max="9" width="15.28515625" style="46" customWidth="1"/>
    <col min="10" max="10" width="14.7109375" style="46" customWidth="1"/>
    <col min="11" max="11" width="12.5703125" style="46" customWidth="1"/>
    <col min="12" max="12" width="11.28515625" style="46" customWidth="1"/>
    <col min="13" max="16384" width="9.140625" style="46"/>
  </cols>
  <sheetData>
    <row r="1" spans="1:19" ht="15" customHeight="1">
      <c r="C1" s="862"/>
      <c r="D1" s="862"/>
      <c r="E1" s="862"/>
      <c r="F1" s="862"/>
      <c r="G1" s="862"/>
      <c r="H1" s="862"/>
      <c r="I1" s="160"/>
      <c r="J1" s="38" t="s">
        <v>535</v>
      </c>
    </row>
    <row r="2" spans="1:19" s="53" customFormat="1" ht="19.5" customHeight="1">
      <c r="A2" s="1128" t="s">
        <v>0</v>
      </c>
      <c r="B2" s="1128"/>
      <c r="C2" s="1128"/>
      <c r="D2" s="1128"/>
      <c r="E2" s="1128"/>
      <c r="F2" s="1128"/>
      <c r="G2" s="1128"/>
      <c r="H2" s="1128"/>
      <c r="I2" s="1128"/>
      <c r="J2" s="1128"/>
    </row>
    <row r="3" spans="1:19" s="53" customFormat="1" ht="19.5" customHeight="1">
      <c r="A3" s="1127" t="s">
        <v>745</v>
      </c>
      <c r="B3" s="1127"/>
      <c r="C3" s="1127"/>
      <c r="D3" s="1127"/>
      <c r="E3" s="1127"/>
      <c r="F3" s="1127"/>
      <c r="G3" s="1127"/>
      <c r="H3" s="1127"/>
      <c r="I3" s="1127"/>
      <c r="J3" s="1127"/>
    </row>
    <row r="4" spans="1:19" s="53" customFormat="1" ht="14.25" customHeight="1">
      <c r="A4" s="62"/>
      <c r="B4" s="62"/>
      <c r="C4" s="62"/>
      <c r="D4" s="62"/>
      <c r="E4" s="62"/>
      <c r="F4" s="62"/>
      <c r="G4" s="62"/>
      <c r="H4" s="62"/>
      <c r="I4" s="62"/>
      <c r="J4" s="62"/>
    </row>
    <row r="5" spans="1:19" s="53" customFormat="1" ht="18" customHeight="1">
      <c r="A5" s="1019" t="s">
        <v>752</v>
      </c>
      <c r="B5" s="1019"/>
      <c r="C5" s="1019"/>
      <c r="D5" s="1019"/>
      <c r="E5" s="1019"/>
      <c r="F5" s="1019"/>
      <c r="G5" s="1019"/>
      <c r="H5" s="1019"/>
      <c r="I5" s="1019"/>
      <c r="J5" s="1019"/>
    </row>
    <row r="6" spans="1:19" ht="15.75">
      <c r="A6" s="850" t="s">
        <v>911</v>
      </c>
      <c r="B6" s="850"/>
      <c r="C6" s="106"/>
      <c r="D6" s="106"/>
      <c r="E6" s="106"/>
      <c r="F6" s="106"/>
      <c r="G6" s="106"/>
      <c r="H6" s="106"/>
      <c r="I6" s="106"/>
      <c r="J6" s="106"/>
      <c r="K6" s="106"/>
    </row>
    <row r="7" spans="1:19" ht="29.25" customHeight="1">
      <c r="A7" s="1130" t="s">
        <v>74</v>
      </c>
      <c r="B7" s="1130" t="s">
        <v>75</v>
      </c>
      <c r="C7" s="1130" t="s">
        <v>76</v>
      </c>
      <c r="D7" s="1130" t="s">
        <v>157</v>
      </c>
      <c r="E7" s="1130"/>
      <c r="F7" s="1130"/>
      <c r="G7" s="1130"/>
      <c r="H7" s="1130"/>
      <c r="I7" s="810" t="s">
        <v>237</v>
      </c>
      <c r="J7" s="1130" t="s">
        <v>77</v>
      </c>
      <c r="K7" s="1130" t="s">
        <v>479</v>
      </c>
      <c r="L7" s="1129" t="s">
        <v>78</v>
      </c>
    </row>
    <row r="8" spans="1:19" ht="34.15" customHeight="1">
      <c r="A8" s="1130"/>
      <c r="B8" s="1130"/>
      <c r="C8" s="1130"/>
      <c r="D8" s="1130" t="s">
        <v>79</v>
      </c>
      <c r="E8" s="1130" t="s">
        <v>80</v>
      </c>
      <c r="F8" s="1130"/>
      <c r="G8" s="1130"/>
      <c r="H8" s="421" t="s">
        <v>81</v>
      </c>
      <c r="I8" s="1131"/>
      <c r="J8" s="1130"/>
      <c r="K8" s="1130"/>
      <c r="L8" s="1129"/>
      <c r="R8" s="52"/>
      <c r="S8" s="52"/>
    </row>
    <row r="9" spans="1:19" ht="33.75" customHeight="1">
      <c r="A9" s="1130"/>
      <c r="B9" s="1130"/>
      <c r="C9" s="1130"/>
      <c r="D9" s="1130"/>
      <c r="E9" s="421" t="s">
        <v>82</v>
      </c>
      <c r="F9" s="421" t="s">
        <v>83</v>
      </c>
      <c r="G9" s="421" t="s">
        <v>17</v>
      </c>
      <c r="H9" s="421"/>
      <c r="I9" s="811"/>
      <c r="J9" s="1130"/>
      <c r="K9" s="1130"/>
      <c r="L9" s="1129"/>
    </row>
    <row r="10" spans="1:19" s="54" customFormat="1" ht="17.100000000000001" customHeight="1">
      <c r="A10" s="147">
        <v>1</v>
      </c>
      <c r="B10" s="147">
        <v>2</v>
      </c>
      <c r="C10" s="147">
        <v>3</v>
      </c>
      <c r="D10" s="147">
        <v>4</v>
      </c>
      <c r="E10" s="147">
        <v>5</v>
      </c>
      <c r="F10" s="147">
        <v>6</v>
      </c>
      <c r="G10" s="147">
        <v>7</v>
      </c>
      <c r="H10" s="147">
        <v>8</v>
      </c>
      <c r="I10" s="147">
        <v>9</v>
      </c>
      <c r="J10" s="147">
        <v>10</v>
      </c>
      <c r="K10" s="147">
        <v>11</v>
      </c>
      <c r="L10" s="147">
        <v>12</v>
      </c>
    </row>
    <row r="11" spans="1:19" ht="17.100000000000001" customHeight="1">
      <c r="A11" s="55">
        <v>1</v>
      </c>
      <c r="B11" s="56" t="s">
        <v>834</v>
      </c>
      <c r="C11" s="50">
        <v>30</v>
      </c>
      <c r="D11" s="49">
        <v>14</v>
      </c>
      <c r="E11" s="49">
        <v>4</v>
      </c>
      <c r="F11" s="49">
        <v>2</v>
      </c>
      <c r="G11" s="49">
        <f>E11+F11</f>
        <v>6</v>
      </c>
      <c r="H11" s="49">
        <f>D11+G11</f>
        <v>20</v>
      </c>
      <c r="I11" s="49">
        <v>30</v>
      </c>
      <c r="J11" s="49">
        <v>30</v>
      </c>
      <c r="K11" s="49">
        <v>30</v>
      </c>
      <c r="L11" s="49"/>
    </row>
    <row r="12" spans="1:19" ht="17.100000000000001" customHeight="1">
      <c r="A12" s="55">
        <v>2</v>
      </c>
      <c r="B12" s="56" t="s">
        <v>835</v>
      </c>
      <c r="C12" s="50">
        <v>31</v>
      </c>
      <c r="D12" s="49">
        <v>24</v>
      </c>
      <c r="E12" s="49">
        <v>5</v>
      </c>
      <c r="F12" s="49">
        <v>0</v>
      </c>
      <c r="G12" s="49">
        <f t="shared" ref="G12:G22" si="0">E12+F12</f>
        <v>5</v>
      </c>
      <c r="H12" s="49">
        <f t="shared" ref="H12:H22" si="1">D12+G12</f>
        <v>29</v>
      </c>
      <c r="I12" s="49">
        <v>31</v>
      </c>
      <c r="J12" s="49">
        <v>31</v>
      </c>
      <c r="K12" s="49">
        <v>31</v>
      </c>
      <c r="L12" s="49"/>
    </row>
    <row r="13" spans="1:19" ht="17.100000000000001" customHeight="1">
      <c r="A13" s="55">
        <v>3</v>
      </c>
      <c r="B13" s="56" t="s">
        <v>836</v>
      </c>
      <c r="C13" s="50">
        <v>30</v>
      </c>
      <c r="D13" s="49">
        <v>0</v>
      </c>
      <c r="E13" s="49">
        <v>4</v>
      </c>
      <c r="F13" s="49">
        <v>0</v>
      </c>
      <c r="G13" s="49">
        <f t="shared" si="0"/>
        <v>4</v>
      </c>
      <c r="H13" s="49">
        <f t="shared" si="1"/>
        <v>4</v>
      </c>
      <c r="I13" s="49">
        <v>30</v>
      </c>
      <c r="J13" s="49">
        <f t="shared" ref="J13:J22" si="2">C13-H13</f>
        <v>26</v>
      </c>
      <c r="K13" s="49">
        <v>29</v>
      </c>
      <c r="L13" s="49"/>
    </row>
    <row r="14" spans="1:19" ht="17.100000000000001" customHeight="1">
      <c r="A14" s="55">
        <v>4</v>
      </c>
      <c r="B14" s="56" t="s">
        <v>837</v>
      </c>
      <c r="C14" s="50">
        <v>31</v>
      </c>
      <c r="D14" s="49">
        <v>0</v>
      </c>
      <c r="E14" s="49">
        <v>4</v>
      </c>
      <c r="F14" s="49">
        <v>0</v>
      </c>
      <c r="G14" s="49">
        <f t="shared" si="0"/>
        <v>4</v>
      </c>
      <c r="H14" s="49">
        <f t="shared" si="1"/>
        <v>4</v>
      </c>
      <c r="I14" s="49">
        <v>31</v>
      </c>
      <c r="J14" s="49">
        <f t="shared" si="2"/>
        <v>27</v>
      </c>
      <c r="K14" s="49">
        <v>27</v>
      </c>
      <c r="L14" s="49"/>
    </row>
    <row r="15" spans="1:19" ht="17.100000000000001" customHeight="1">
      <c r="A15" s="55">
        <v>5</v>
      </c>
      <c r="B15" s="56" t="s">
        <v>838</v>
      </c>
      <c r="C15" s="50">
        <v>31</v>
      </c>
      <c r="D15" s="49">
        <v>0</v>
      </c>
      <c r="E15" s="49">
        <v>5</v>
      </c>
      <c r="F15" s="49">
        <v>2</v>
      </c>
      <c r="G15" s="49">
        <f t="shared" si="0"/>
        <v>7</v>
      </c>
      <c r="H15" s="49">
        <f t="shared" si="1"/>
        <v>7</v>
      </c>
      <c r="I15" s="49">
        <v>31</v>
      </c>
      <c r="J15" s="49">
        <f t="shared" si="2"/>
        <v>24</v>
      </c>
      <c r="K15" s="49">
        <v>24</v>
      </c>
      <c r="L15" s="49"/>
    </row>
    <row r="16" spans="1:19" s="54" customFormat="1" ht="17.100000000000001" customHeight="1">
      <c r="A16" s="55">
        <v>6</v>
      </c>
      <c r="B16" s="56" t="s">
        <v>839</v>
      </c>
      <c r="C16" s="55">
        <v>30</v>
      </c>
      <c r="D16" s="56">
        <v>0</v>
      </c>
      <c r="E16" s="56">
        <v>4</v>
      </c>
      <c r="F16" s="56">
        <v>1</v>
      </c>
      <c r="G16" s="49">
        <f t="shared" si="0"/>
        <v>5</v>
      </c>
      <c r="H16" s="49">
        <f t="shared" si="1"/>
        <v>5</v>
      </c>
      <c r="I16" s="56">
        <v>30</v>
      </c>
      <c r="J16" s="49">
        <f t="shared" si="2"/>
        <v>25</v>
      </c>
      <c r="K16" s="56">
        <v>25</v>
      </c>
      <c r="L16" s="56"/>
    </row>
    <row r="17" spans="1:12" s="54" customFormat="1" ht="17.100000000000001" customHeight="1">
      <c r="A17" s="55">
        <v>7</v>
      </c>
      <c r="B17" s="56" t="s">
        <v>840</v>
      </c>
      <c r="C17" s="55">
        <v>31</v>
      </c>
      <c r="D17" s="56">
        <v>19</v>
      </c>
      <c r="E17" s="56">
        <v>4</v>
      </c>
      <c r="F17" s="56">
        <v>2</v>
      </c>
      <c r="G17" s="49">
        <f t="shared" si="0"/>
        <v>6</v>
      </c>
      <c r="H17" s="49">
        <f t="shared" si="1"/>
        <v>25</v>
      </c>
      <c r="I17" s="56">
        <v>31</v>
      </c>
      <c r="J17" s="49">
        <f t="shared" si="2"/>
        <v>6</v>
      </c>
      <c r="K17" s="56">
        <v>23</v>
      </c>
      <c r="L17" s="56"/>
    </row>
    <row r="18" spans="1:12" s="54" customFormat="1" ht="17.100000000000001" customHeight="1">
      <c r="A18" s="55">
        <v>8</v>
      </c>
      <c r="B18" s="56" t="s">
        <v>841</v>
      </c>
      <c r="C18" s="55">
        <v>30</v>
      </c>
      <c r="D18" s="56">
        <v>0</v>
      </c>
      <c r="E18" s="56">
        <v>5</v>
      </c>
      <c r="F18" s="56">
        <v>2</v>
      </c>
      <c r="G18" s="49">
        <f t="shared" si="0"/>
        <v>7</v>
      </c>
      <c r="H18" s="49">
        <f t="shared" si="1"/>
        <v>7</v>
      </c>
      <c r="I18" s="56">
        <v>30</v>
      </c>
      <c r="J18" s="49">
        <f t="shared" si="2"/>
        <v>23</v>
      </c>
      <c r="K18" s="56">
        <v>23</v>
      </c>
      <c r="L18" s="56"/>
    </row>
    <row r="19" spans="1:12" s="54" customFormat="1" ht="17.100000000000001" customHeight="1">
      <c r="A19" s="55">
        <v>9</v>
      </c>
      <c r="B19" s="56" t="s">
        <v>842</v>
      </c>
      <c r="C19" s="55">
        <v>31</v>
      </c>
      <c r="D19" s="56">
        <v>0</v>
      </c>
      <c r="E19" s="56">
        <v>4</v>
      </c>
      <c r="F19" s="56">
        <v>1</v>
      </c>
      <c r="G19" s="49">
        <f t="shared" si="0"/>
        <v>5</v>
      </c>
      <c r="H19" s="49">
        <f t="shared" si="1"/>
        <v>5</v>
      </c>
      <c r="I19" s="56">
        <v>31</v>
      </c>
      <c r="J19" s="49">
        <f t="shared" si="2"/>
        <v>26</v>
      </c>
      <c r="K19" s="56">
        <v>26</v>
      </c>
      <c r="L19" s="56"/>
    </row>
    <row r="20" spans="1:12" s="54" customFormat="1" ht="17.100000000000001" customHeight="1">
      <c r="A20" s="55">
        <v>10</v>
      </c>
      <c r="B20" s="56" t="s">
        <v>843</v>
      </c>
      <c r="C20" s="55">
        <v>31</v>
      </c>
      <c r="D20" s="56">
        <v>0</v>
      </c>
      <c r="E20" s="56">
        <v>5</v>
      </c>
      <c r="F20" s="56">
        <v>1</v>
      </c>
      <c r="G20" s="49">
        <f t="shared" si="0"/>
        <v>6</v>
      </c>
      <c r="H20" s="49">
        <f t="shared" si="1"/>
        <v>6</v>
      </c>
      <c r="I20" s="56">
        <v>31</v>
      </c>
      <c r="J20" s="49">
        <f t="shared" si="2"/>
        <v>25</v>
      </c>
      <c r="K20" s="56">
        <v>25</v>
      </c>
      <c r="L20" s="56"/>
    </row>
    <row r="21" spans="1:12" s="54" customFormat="1" ht="17.100000000000001" customHeight="1">
      <c r="A21" s="55">
        <v>11</v>
      </c>
      <c r="B21" s="56" t="s">
        <v>844</v>
      </c>
      <c r="C21" s="55">
        <v>28</v>
      </c>
      <c r="D21" s="56">
        <v>0</v>
      </c>
      <c r="E21" s="56">
        <v>4</v>
      </c>
      <c r="F21" s="56">
        <v>0</v>
      </c>
      <c r="G21" s="49">
        <f t="shared" si="0"/>
        <v>4</v>
      </c>
      <c r="H21" s="49">
        <f t="shared" si="1"/>
        <v>4</v>
      </c>
      <c r="I21" s="56">
        <v>28</v>
      </c>
      <c r="J21" s="49">
        <f t="shared" si="2"/>
        <v>24</v>
      </c>
      <c r="K21" s="56">
        <v>24</v>
      </c>
      <c r="L21" s="56"/>
    </row>
    <row r="22" spans="1:12" s="54" customFormat="1" ht="17.100000000000001" customHeight="1">
      <c r="A22" s="55">
        <v>12</v>
      </c>
      <c r="B22" s="56" t="s">
        <v>845</v>
      </c>
      <c r="C22" s="55">
        <v>31</v>
      </c>
      <c r="D22" s="56">
        <v>0</v>
      </c>
      <c r="E22" s="56">
        <v>4</v>
      </c>
      <c r="F22" s="56">
        <v>1</v>
      </c>
      <c r="G22" s="49">
        <f t="shared" si="0"/>
        <v>5</v>
      </c>
      <c r="H22" s="49">
        <f t="shared" si="1"/>
        <v>5</v>
      </c>
      <c r="I22" s="56">
        <v>31</v>
      </c>
      <c r="J22" s="49">
        <f t="shared" si="2"/>
        <v>26</v>
      </c>
      <c r="K22" s="56">
        <v>26</v>
      </c>
      <c r="L22" s="56"/>
    </row>
    <row r="23" spans="1:12" s="54" customFormat="1" ht="17.100000000000001" customHeight="1">
      <c r="A23" s="56"/>
      <c r="B23" s="58" t="s">
        <v>17</v>
      </c>
      <c r="C23" s="421">
        <f>SUM(C11:C22)</f>
        <v>365</v>
      </c>
      <c r="D23" s="57">
        <f>SUM(D11:D22)</f>
        <v>57</v>
      </c>
      <c r="E23" s="57">
        <f t="shared" ref="E23:L23" si="3">SUM(E11:E22)</f>
        <v>52</v>
      </c>
      <c r="F23" s="57">
        <f t="shared" si="3"/>
        <v>12</v>
      </c>
      <c r="G23" s="57">
        <f t="shared" si="3"/>
        <v>64</v>
      </c>
      <c r="H23" s="57">
        <f t="shared" si="3"/>
        <v>121</v>
      </c>
      <c r="I23" s="57">
        <f t="shared" si="3"/>
        <v>365</v>
      </c>
      <c r="J23" s="57">
        <f t="shared" si="3"/>
        <v>293</v>
      </c>
      <c r="K23" s="57">
        <f t="shared" si="3"/>
        <v>313</v>
      </c>
      <c r="L23" s="57">
        <f t="shared" si="3"/>
        <v>0</v>
      </c>
    </row>
    <row r="24" spans="1:12" s="54" customFormat="1" ht="18" customHeight="1">
      <c r="A24" s="59"/>
      <c r="B24" s="60"/>
      <c r="C24" s="61"/>
      <c r="D24" s="59"/>
      <c r="E24" s="59"/>
      <c r="F24" s="59"/>
      <c r="G24" s="1130" t="s">
        <v>956</v>
      </c>
      <c r="H24" s="1130"/>
      <c r="I24" s="1130"/>
      <c r="J24" s="57">
        <v>4</v>
      </c>
      <c r="K24" s="56"/>
      <c r="L24" s="59"/>
    </row>
    <row r="25" spans="1:12" ht="15">
      <c r="A25" s="59"/>
      <c r="B25" s="60"/>
      <c r="C25" s="61"/>
      <c r="D25" s="59"/>
      <c r="E25" s="59"/>
      <c r="F25" s="59"/>
      <c r="G25" s="1130" t="s">
        <v>955</v>
      </c>
      <c r="H25" s="1130"/>
      <c r="I25" s="1130"/>
      <c r="J25" s="57">
        <f>J23-J24</f>
        <v>289</v>
      </c>
      <c r="K25" s="56"/>
      <c r="L25" s="59"/>
    </row>
    <row r="26" spans="1:12" ht="15">
      <c r="A26" s="59"/>
      <c r="B26" s="60"/>
      <c r="C26" s="61"/>
      <c r="D26" s="59"/>
      <c r="E26" s="59"/>
      <c r="F26" s="59"/>
      <c r="G26" s="59"/>
      <c r="H26" s="59"/>
      <c r="I26" s="434" t="s">
        <v>42</v>
      </c>
      <c r="J26" s="435">
        <v>39</v>
      </c>
      <c r="K26" s="435">
        <v>49</v>
      </c>
      <c r="L26" s="54"/>
    </row>
    <row r="27" spans="1:12" ht="15">
      <c r="A27" s="51" t="s">
        <v>108</v>
      </c>
      <c r="B27" s="51"/>
      <c r="C27" s="51"/>
      <c r="D27" s="51"/>
      <c r="E27" s="51"/>
      <c r="F27" s="51"/>
      <c r="G27" s="51"/>
      <c r="H27" s="51"/>
      <c r="I27" s="434" t="s">
        <v>20</v>
      </c>
      <c r="J27" s="434">
        <v>201</v>
      </c>
      <c r="K27" s="434">
        <v>247</v>
      </c>
    </row>
    <row r="28" spans="1:12" ht="15">
      <c r="A28" s="51"/>
      <c r="B28" s="51"/>
      <c r="C28" s="51"/>
      <c r="D28" s="51"/>
      <c r="E28" s="51"/>
      <c r="F28" s="51"/>
      <c r="G28" s="51"/>
      <c r="H28" s="51"/>
      <c r="I28" s="434" t="s">
        <v>17</v>
      </c>
      <c r="J28" s="434">
        <f>SUM(J26:J27)</f>
        <v>240</v>
      </c>
      <c r="K28" s="434">
        <f>SUM(K26:K27)</f>
        <v>296</v>
      </c>
    </row>
    <row r="29" spans="1:12" ht="15">
      <c r="A29" s="51"/>
      <c r="B29" s="51"/>
      <c r="C29" s="51"/>
      <c r="D29" s="51"/>
      <c r="E29" s="51"/>
      <c r="F29" s="51"/>
      <c r="G29" s="51"/>
      <c r="H29" s="51"/>
      <c r="I29" s="51"/>
      <c r="J29" s="51"/>
    </row>
    <row r="30" spans="1:12" ht="15" customHeight="1"/>
    <row r="31" spans="1:12" ht="15" customHeight="1">
      <c r="A31" s="420"/>
      <c r="B31" s="13"/>
      <c r="C31" s="13"/>
      <c r="D31" s="13"/>
      <c r="E31" s="13"/>
      <c r="I31" s="804" t="s">
        <v>12</v>
      </c>
      <c r="J31" s="804"/>
      <c r="K31" s="804"/>
    </row>
    <row r="32" spans="1:12" ht="15.75">
      <c r="A32" s="803" t="s">
        <v>906</v>
      </c>
      <c r="B32" s="803"/>
      <c r="C32" s="803"/>
      <c r="D32" s="803"/>
      <c r="E32" s="375"/>
      <c r="I32" s="804" t="s">
        <v>13</v>
      </c>
      <c r="J32" s="804"/>
      <c r="K32" s="804"/>
    </row>
    <row r="33" spans="1:11" ht="15.75">
      <c r="A33" s="804" t="s">
        <v>907</v>
      </c>
      <c r="B33" s="804"/>
      <c r="C33" s="804"/>
      <c r="D33" s="804"/>
      <c r="E33" s="375"/>
      <c r="I33" s="804" t="s">
        <v>18</v>
      </c>
      <c r="J33" s="804"/>
      <c r="K33" s="804"/>
    </row>
    <row r="34" spans="1:11">
      <c r="A34" s="804" t="s">
        <v>908</v>
      </c>
      <c r="B34" s="804"/>
      <c r="C34" s="804"/>
      <c r="D34" s="804"/>
      <c r="E34"/>
      <c r="I34" s="420"/>
      <c r="J34" s="850" t="s">
        <v>84</v>
      </c>
      <c r="K34" s="850"/>
    </row>
    <row r="35" spans="1:11">
      <c r="A35" s="419"/>
      <c r="B35" s="419"/>
      <c r="C35" s="419"/>
      <c r="D35" s="419"/>
      <c r="E35" s="419"/>
      <c r="F35" s="420"/>
      <c r="G35" s="420"/>
      <c r="H35" s="420"/>
    </row>
    <row r="36" spans="1:11" ht="15.75">
      <c r="A36" s="13" t="s">
        <v>11</v>
      </c>
      <c r="B36" s="420"/>
      <c r="C36" s="420"/>
      <c r="D36" s="420"/>
      <c r="E36" s="420"/>
      <c r="F36" s="420"/>
      <c r="G36" s="420"/>
      <c r="H36" s="420"/>
    </row>
  </sheetData>
  <mergeCells count="24">
    <mergeCell ref="A33:D33"/>
    <mergeCell ref="I33:K33"/>
    <mergeCell ref="A34:D34"/>
    <mergeCell ref="J34:K34"/>
    <mergeCell ref="L7:L9"/>
    <mergeCell ref="G24:I24"/>
    <mergeCell ref="G25:I25"/>
    <mergeCell ref="I31:K31"/>
    <mergeCell ref="A32:D32"/>
    <mergeCell ref="I32:K32"/>
    <mergeCell ref="A7:A9"/>
    <mergeCell ref="B7:B9"/>
    <mergeCell ref="C7:C9"/>
    <mergeCell ref="D7:H7"/>
    <mergeCell ref="J7:J9"/>
    <mergeCell ref="D8:D9"/>
    <mergeCell ref="E8:G8"/>
    <mergeCell ref="I7:I9"/>
    <mergeCell ref="K7:K9"/>
    <mergeCell ref="C1:H1"/>
    <mergeCell ref="A2:J2"/>
    <mergeCell ref="A3:J3"/>
    <mergeCell ref="A5:J5"/>
    <mergeCell ref="A6:B6"/>
  </mergeCells>
  <phoneticPr fontId="0" type="noConversion"/>
  <printOptions horizontalCentered="1"/>
  <pageMargins left="0.70866141732283472" right="0.70866141732283472" top="0.23622047244094491" bottom="0" header="0.31496062992125984" footer="0.31496062992125984"/>
  <pageSetup paperSize="9" scale="93" orientation="landscape" r:id="rId1"/>
</worksheet>
</file>

<file path=xl/worksheets/sheet58.xml><?xml version="1.0" encoding="utf-8"?>
<worksheet xmlns="http://schemas.openxmlformats.org/spreadsheetml/2006/main" xmlns:r="http://schemas.openxmlformats.org/officeDocument/2006/relationships">
  <sheetPr codeName="Sheet58">
    <pageSetUpPr fitToPage="1"/>
  </sheetPr>
  <dimension ref="A1:U58"/>
  <sheetViews>
    <sheetView view="pageBreakPreview" topLeftCell="A16" zoomScale="90" zoomScaleNormal="80" zoomScaleSheetLayoutView="90" workbookViewId="0">
      <selection activeCell="C32" sqref="C32:T32"/>
    </sheetView>
  </sheetViews>
  <sheetFormatPr defaultRowHeight="12.75"/>
  <cols>
    <col min="1" max="1" width="5.5703125" style="268" customWidth="1"/>
    <col min="2" max="2" width="20.28515625" style="268" customWidth="1"/>
    <col min="3" max="3" width="10.28515625" style="268" customWidth="1"/>
    <col min="4" max="4" width="8.42578125" style="268" customWidth="1"/>
    <col min="5" max="6" width="9.85546875" style="268" customWidth="1"/>
    <col min="7" max="7" width="10.85546875" style="268" customWidth="1"/>
    <col min="8" max="8" width="12.85546875" style="268" customWidth="1"/>
    <col min="9" max="9" width="11.28515625" style="255" customWidth="1"/>
    <col min="10" max="10" width="11.42578125" style="255" customWidth="1"/>
    <col min="11" max="11" width="9.7109375" style="255" customWidth="1"/>
    <col min="12" max="12" width="8.140625" style="255" customWidth="1"/>
    <col min="13" max="13" width="9.140625" style="255" customWidth="1"/>
    <col min="14" max="14" width="9.28515625" style="255" customWidth="1"/>
    <col min="15" max="15" width="8.42578125" style="255" customWidth="1"/>
    <col min="16" max="16" width="8.140625" style="255" customWidth="1"/>
    <col min="17" max="18" width="8.85546875" style="255" customWidth="1"/>
    <col min="19" max="19" width="10.7109375" style="255" customWidth="1"/>
    <col min="20" max="20" width="14.140625" style="255" customWidth="1"/>
    <col min="21" max="21" width="9.140625" style="268"/>
    <col min="22" max="16384" width="9.140625" style="255"/>
  </cols>
  <sheetData>
    <row r="1" spans="1:21" ht="12.75" customHeight="1">
      <c r="G1" s="1133"/>
      <c r="H1" s="1133"/>
      <c r="I1" s="1133"/>
      <c r="J1" s="268"/>
      <c r="K1" s="268"/>
      <c r="L1" s="268"/>
      <c r="M1" s="268"/>
      <c r="N1" s="268"/>
      <c r="O1" s="268"/>
      <c r="P1" s="268"/>
      <c r="Q1" s="1135" t="s">
        <v>536</v>
      </c>
      <c r="R1" s="1135"/>
      <c r="S1" s="1135"/>
      <c r="T1" s="1135"/>
    </row>
    <row r="2" spans="1:21" ht="15.75">
      <c r="A2" s="1138" t="s">
        <v>0</v>
      </c>
      <c r="B2" s="1138"/>
      <c r="C2" s="1138"/>
      <c r="D2" s="1138"/>
      <c r="E2" s="1138"/>
      <c r="F2" s="1138"/>
      <c r="G2" s="1138"/>
      <c r="H2" s="1138"/>
      <c r="I2" s="1138"/>
      <c r="J2" s="1138"/>
      <c r="K2" s="1138"/>
      <c r="L2" s="1138"/>
      <c r="M2" s="1138"/>
      <c r="N2" s="1138"/>
      <c r="O2" s="1138"/>
      <c r="P2" s="1138"/>
      <c r="Q2" s="1138"/>
      <c r="R2" s="1138"/>
      <c r="S2" s="1138"/>
      <c r="T2" s="1138"/>
    </row>
    <row r="3" spans="1:21" ht="18">
      <c r="A3" s="1139" t="s">
        <v>745</v>
      </c>
      <c r="B3" s="1139"/>
      <c r="C3" s="1139"/>
      <c r="D3" s="1139"/>
      <c r="E3" s="1139"/>
      <c r="F3" s="1139"/>
      <c r="G3" s="1139"/>
      <c r="H3" s="1139"/>
      <c r="I3" s="1139"/>
      <c r="J3" s="1139"/>
      <c r="K3" s="1139"/>
      <c r="L3" s="1139"/>
      <c r="M3" s="1139"/>
      <c r="N3" s="1139"/>
      <c r="O3" s="1139"/>
      <c r="P3" s="1139"/>
      <c r="Q3" s="1139"/>
      <c r="R3" s="1139"/>
      <c r="S3" s="1139"/>
      <c r="T3" s="1139"/>
    </row>
    <row r="4" spans="1:21" ht="12.75" customHeight="1">
      <c r="A4" s="1137" t="s">
        <v>753</v>
      </c>
      <c r="B4" s="1137"/>
      <c r="C4" s="1137"/>
      <c r="D4" s="1137"/>
      <c r="E4" s="1137"/>
      <c r="F4" s="1137"/>
      <c r="G4" s="1137"/>
      <c r="H4" s="1137"/>
      <c r="I4" s="1137"/>
      <c r="J4" s="1137"/>
      <c r="K4" s="1137"/>
      <c r="L4" s="1137"/>
      <c r="M4" s="1137"/>
      <c r="N4" s="1137"/>
      <c r="O4" s="1137"/>
      <c r="P4" s="1137"/>
      <c r="Q4" s="1137"/>
      <c r="R4" s="1137"/>
      <c r="S4" s="1137"/>
      <c r="T4" s="1137"/>
    </row>
    <row r="5" spans="1:21" s="256" customFormat="1" ht="7.5" customHeight="1">
      <c r="A5" s="1137"/>
      <c r="B5" s="1137"/>
      <c r="C5" s="1137"/>
      <c r="D5" s="1137"/>
      <c r="E5" s="1137"/>
      <c r="F5" s="1137"/>
      <c r="G5" s="1137"/>
      <c r="H5" s="1137"/>
      <c r="I5" s="1137"/>
      <c r="J5" s="1137"/>
      <c r="K5" s="1137"/>
      <c r="L5" s="1137"/>
      <c r="M5" s="1137"/>
      <c r="N5" s="1137"/>
      <c r="O5" s="1137"/>
      <c r="P5" s="1137"/>
      <c r="Q5" s="1137"/>
      <c r="R5" s="1137"/>
      <c r="S5" s="1137"/>
      <c r="T5" s="1137"/>
      <c r="U5" s="323"/>
    </row>
    <row r="6" spans="1:21">
      <c r="A6" s="1134"/>
      <c r="B6" s="1134"/>
      <c r="C6" s="1134"/>
      <c r="D6" s="1134"/>
      <c r="E6" s="1134"/>
      <c r="F6" s="1134"/>
      <c r="G6" s="1134"/>
      <c r="H6" s="1134"/>
      <c r="I6" s="1134"/>
      <c r="J6" s="1134"/>
      <c r="K6" s="1134"/>
      <c r="L6" s="1134"/>
      <c r="M6" s="1134"/>
      <c r="N6" s="1134"/>
      <c r="O6" s="1134"/>
      <c r="P6" s="1134"/>
      <c r="Q6" s="1134"/>
      <c r="R6" s="1134"/>
      <c r="S6" s="1134"/>
      <c r="T6" s="1134"/>
    </row>
    <row r="7" spans="1:21">
      <c r="A7" s="1144" t="s">
        <v>911</v>
      </c>
      <c r="B7" s="1144"/>
      <c r="H7" s="269"/>
      <c r="I7" s="268"/>
      <c r="J7" s="268"/>
      <c r="K7" s="268"/>
      <c r="L7" s="1140"/>
      <c r="M7" s="1140"/>
      <c r="N7" s="1140"/>
      <c r="O7" s="1140"/>
      <c r="P7" s="1140"/>
      <c r="Q7" s="1140"/>
      <c r="R7" s="1140"/>
      <c r="S7" s="1140"/>
      <c r="T7" s="1140"/>
    </row>
    <row r="8" spans="1:21" ht="24.75" customHeight="1">
      <c r="A8" s="1027" t="s">
        <v>2</v>
      </c>
      <c r="B8" s="1027" t="s">
        <v>3</v>
      </c>
      <c r="C8" s="1141" t="s">
        <v>489</v>
      </c>
      <c r="D8" s="1142"/>
      <c r="E8" s="1142"/>
      <c r="F8" s="1142"/>
      <c r="G8" s="1143"/>
      <c r="H8" s="1145" t="s">
        <v>85</v>
      </c>
      <c r="I8" s="1141" t="s">
        <v>86</v>
      </c>
      <c r="J8" s="1142"/>
      <c r="K8" s="1142"/>
      <c r="L8" s="1143"/>
      <c r="M8" s="1027" t="s">
        <v>653</v>
      </c>
      <c r="N8" s="1027"/>
      <c r="O8" s="1027"/>
      <c r="P8" s="1027"/>
      <c r="Q8" s="1027"/>
      <c r="R8" s="1027"/>
      <c r="S8" s="1147" t="s">
        <v>708</v>
      </c>
      <c r="T8" s="1147"/>
    </row>
    <row r="9" spans="1:21" ht="44.45" customHeight="1">
      <c r="A9" s="1027"/>
      <c r="B9" s="1027"/>
      <c r="C9" s="270" t="s">
        <v>5</v>
      </c>
      <c r="D9" s="270" t="s">
        <v>6</v>
      </c>
      <c r="E9" s="270" t="s">
        <v>357</v>
      </c>
      <c r="F9" s="271" t="s">
        <v>102</v>
      </c>
      <c r="G9" s="271" t="s">
        <v>226</v>
      </c>
      <c r="H9" s="1146"/>
      <c r="I9" s="315" t="s">
        <v>91</v>
      </c>
      <c r="J9" s="315" t="s">
        <v>957</v>
      </c>
      <c r="K9" s="315" t="s">
        <v>958</v>
      </c>
      <c r="L9" s="315" t="s">
        <v>687</v>
      </c>
      <c r="M9" s="321" t="s">
        <v>17</v>
      </c>
      <c r="N9" s="321" t="s">
        <v>959</v>
      </c>
      <c r="O9" s="321" t="s">
        <v>654</v>
      </c>
      <c r="P9" s="321" t="s">
        <v>655</v>
      </c>
      <c r="Q9" s="321" t="s">
        <v>656</v>
      </c>
      <c r="R9" s="321" t="s">
        <v>657</v>
      </c>
      <c r="S9" s="334" t="s">
        <v>713</v>
      </c>
      <c r="T9" s="334" t="s">
        <v>711</v>
      </c>
    </row>
    <row r="10" spans="1:21" s="257" customFormat="1">
      <c r="A10" s="328">
        <v>1</v>
      </c>
      <c r="B10" s="328">
        <v>2</v>
      </c>
      <c r="C10" s="328">
        <v>3</v>
      </c>
      <c r="D10" s="328">
        <v>4</v>
      </c>
      <c r="E10" s="328">
        <v>5</v>
      </c>
      <c r="F10" s="328">
        <v>6</v>
      </c>
      <c r="G10" s="328">
        <v>7</v>
      </c>
      <c r="H10" s="328">
        <v>8</v>
      </c>
      <c r="I10" s="328">
        <v>9</v>
      </c>
      <c r="J10" s="328">
        <v>10</v>
      </c>
      <c r="K10" s="328">
        <v>11</v>
      </c>
      <c r="L10" s="328">
        <v>12</v>
      </c>
      <c r="M10" s="328">
        <v>13</v>
      </c>
      <c r="N10" s="328">
        <v>14</v>
      </c>
      <c r="O10" s="328">
        <v>15</v>
      </c>
      <c r="P10" s="328">
        <v>16</v>
      </c>
      <c r="Q10" s="328">
        <v>17</v>
      </c>
      <c r="R10" s="328">
        <v>18</v>
      </c>
      <c r="S10" s="328">
        <v>19</v>
      </c>
      <c r="T10" s="328">
        <v>20</v>
      </c>
      <c r="U10" s="278"/>
    </row>
    <row r="11" spans="1:21">
      <c r="A11" s="272">
        <v>1</v>
      </c>
      <c r="B11" s="18" t="s">
        <v>912</v>
      </c>
      <c r="C11" s="273">
        <v>30532</v>
      </c>
      <c r="D11" s="273">
        <v>15914</v>
      </c>
      <c r="E11" s="273">
        <v>0</v>
      </c>
      <c r="F11" s="273">
        <v>0</v>
      </c>
      <c r="G11" s="273">
        <f>SUM(C11:F11)</f>
        <v>46446</v>
      </c>
      <c r="H11" s="274">
        <v>240</v>
      </c>
      <c r="I11" s="437">
        <f>J11+K11+L11</f>
        <v>1114.7040000000002</v>
      </c>
      <c r="J11" s="437">
        <f>ROUND(G11*201*100/1000000,3)</f>
        <v>933.56500000000005</v>
      </c>
      <c r="K11" s="437">
        <f>ROUND(G11*39*100/1000000,3)</f>
        <v>181.13900000000001</v>
      </c>
      <c r="L11" s="437">
        <v>0</v>
      </c>
      <c r="M11" s="437">
        <f>N11+O11+P11+Q11+R11</f>
        <v>222.9408</v>
      </c>
      <c r="N11" s="437">
        <f>G11*H11*20/1000000</f>
        <v>222.9408</v>
      </c>
      <c r="O11" s="437">
        <v>0</v>
      </c>
      <c r="P11" s="437">
        <v>0</v>
      </c>
      <c r="Q11" s="437">
        <v>0</v>
      </c>
      <c r="R11" s="437">
        <v>0</v>
      </c>
      <c r="S11" s="273">
        <v>150</v>
      </c>
      <c r="T11" s="273">
        <f>ROUND(I11*1500/100000,2)</f>
        <v>16.72</v>
      </c>
    </row>
    <row r="12" spans="1:21">
      <c r="A12" s="272">
        <v>2</v>
      </c>
      <c r="B12" s="18" t="s">
        <v>913</v>
      </c>
      <c r="C12" s="273">
        <v>43286</v>
      </c>
      <c r="D12" s="273">
        <v>13761</v>
      </c>
      <c r="E12" s="273">
        <v>0</v>
      </c>
      <c r="F12" s="273">
        <v>21</v>
      </c>
      <c r="G12" s="273">
        <f t="shared" ref="G12:G44" si="0">SUM(C12:F12)</f>
        <v>57068</v>
      </c>
      <c r="H12" s="302">
        <v>240</v>
      </c>
      <c r="I12" s="437">
        <f t="shared" ref="I12:I44" si="1">J12+K12+L12</f>
        <v>1369.6320000000001</v>
      </c>
      <c r="J12" s="437">
        <f t="shared" ref="J12:J44" si="2">ROUND(G12*201*100/1000000,3)</f>
        <v>1147.067</v>
      </c>
      <c r="K12" s="437">
        <f t="shared" ref="K12:K44" si="3">ROUND(G12*39*100/1000000,3)</f>
        <v>222.565</v>
      </c>
      <c r="L12" s="437">
        <v>0</v>
      </c>
      <c r="M12" s="437">
        <f t="shared" ref="M12:M44" si="4">N12+O12+P12+Q12+R12</f>
        <v>273.9264</v>
      </c>
      <c r="N12" s="437">
        <f t="shared" ref="N12:N44" si="5">G12*H12*20/1000000</f>
        <v>273.9264</v>
      </c>
      <c r="O12" s="437">
        <v>0</v>
      </c>
      <c r="P12" s="437">
        <v>0</v>
      </c>
      <c r="Q12" s="437">
        <v>0</v>
      </c>
      <c r="R12" s="437">
        <v>0</v>
      </c>
      <c r="S12" s="273">
        <v>150</v>
      </c>
      <c r="T12" s="273">
        <f t="shared" ref="T12:T44" si="6">ROUND(I12*1500/100000,2)</f>
        <v>20.54</v>
      </c>
    </row>
    <row r="13" spans="1:21">
      <c r="A13" s="272">
        <v>3</v>
      </c>
      <c r="B13" s="18" t="s">
        <v>914</v>
      </c>
      <c r="C13" s="273">
        <v>63924</v>
      </c>
      <c r="D13" s="273">
        <v>6975</v>
      </c>
      <c r="E13" s="273">
        <v>0</v>
      </c>
      <c r="F13" s="273">
        <v>0</v>
      </c>
      <c r="G13" s="273">
        <f t="shared" si="0"/>
        <v>70899</v>
      </c>
      <c r="H13" s="302">
        <v>240</v>
      </c>
      <c r="I13" s="437">
        <f t="shared" si="1"/>
        <v>1701.576</v>
      </c>
      <c r="J13" s="437">
        <f t="shared" si="2"/>
        <v>1425.07</v>
      </c>
      <c r="K13" s="437">
        <f t="shared" si="3"/>
        <v>276.50599999999997</v>
      </c>
      <c r="L13" s="437">
        <v>0</v>
      </c>
      <c r="M13" s="437">
        <f t="shared" si="4"/>
        <v>340.3152</v>
      </c>
      <c r="N13" s="437">
        <f t="shared" si="5"/>
        <v>340.3152</v>
      </c>
      <c r="O13" s="437">
        <v>0</v>
      </c>
      <c r="P13" s="437">
        <v>0</v>
      </c>
      <c r="Q13" s="437">
        <v>0</v>
      </c>
      <c r="R13" s="437">
        <v>0</v>
      </c>
      <c r="S13" s="273">
        <v>150</v>
      </c>
      <c r="T13" s="273">
        <f t="shared" si="6"/>
        <v>25.52</v>
      </c>
    </row>
    <row r="14" spans="1:21">
      <c r="A14" s="272">
        <v>4</v>
      </c>
      <c r="B14" s="18" t="s">
        <v>915</v>
      </c>
      <c r="C14" s="273">
        <v>50372</v>
      </c>
      <c r="D14" s="273">
        <v>12556</v>
      </c>
      <c r="E14" s="273">
        <v>0</v>
      </c>
      <c r="F14" s="273">
        <v>0</v>
      </c>
      <c r="G14" s="273">
        <f t="shared" si="0"/>
        <v>62928</v>
      </c>
      <c r="H14" s="302">
        <v>240</v>
      </c>
      <c r="I14" s="437">
        <f t="shared" si="1"/>
        <v>1510.2720000000002</v>
      </c>
      <c r="J14" s="437">
        <f t="shared" si="2"/>
        <v>1264.8530000000001</v>
      </c>
      <c r="K14" s="437">
        <f t="shared" si="3"/>
        <v>245.41900000000001</v>
      </c>
      <c r="L14" s="437">
        <v>0</v>
      </c>
      <c r="M14" s="437">
        <f t="shared" si="4"/>
        <v>302.05439999999999</v>
      </c>
      <c r="N14" s="437">
        <f t="shared" si="5"/>
        <v>302.05439999999999</v>
      </c>
      <c r="O14" s="437">
        <v>0</v>
      </c>
      <c r="P14" s="437">
        <v>0</v>
      </c>
      <c r="Q14" s="437">
        <v>0</v>
      </c>
      <c r="R14" s="437">
        <v>0</v>
      </c>
      <c r="S14" s="273">
        <v>150</v>
      </c>
      <c r="T14" s="273">
        <f t="shared" si="6"/>
        <v>22.65</v>
      </c>
    </row>
    <row r="15" spans="1:21">
      <c r="A15" s="272">
        <v>5</v>
      </c>
      <c r="B15" s="18" t="s">
        <v>916</v>
      </c>
      <c r="C15" s="273">
        <v>55674</v>
      </c>
      <c r="D15" s="273">
        <v>10131</v>
      </c>
      <c r="E15" s="273">
        <v>0</v>
      </c>
      <c r="F15" s="273">
        <v>0</v>
      </c>
      <c r="G15" s="273">
        <f t="shared" si="0"/>
        <v>65805</v>
      </c>
      <c r="H15" s="302">
        <v>240</v>
      </c>
      <c r="I15" s="437">
        <f t="shared" si="1"/>
        <v>1579.3209999999999</v>
      </c>
      <c r="J15" s="437">
        <f t="shared" si="2"/>
        <v>1322.681</v>
      </c>
      <c r="K15" s="437">
        <f t="shared" si="3"/>
        <v>256.64</v>
      </c>
      <c r="L15" s="437">
        <v>0</v>
      </c>
      <c r="M15" s="437">
        <f t="shared" si="4"/>
        <v>315.86399999999998</v>
      </c>
      <c r="N15" s="437">
        <f t="shared" si="5"/>
        <v>315.86399999999998</v>
      </c>
      <c r="O15" s="437">
        <v>0</v>
      </c>
      <c r="P15" s="437">
        <v>0</v>
      </c>
      <c r="Q15" s="437">
        <v>0</v>
      </c>
      <c r="R15" s="437">
        <v>0</v>
      </c>
      <c r="S15" s="273">
        <v>150</v>
      </c>
      <c r="T15" s="273">
        <f t="shared" si="6"/>
        <v>23.69</v>
      </c>
    </row>
    <row r="16" spans="1:21">
      <c r="A16" s="272">
        <v>6</v>
      </c>
      <c r="B16" s="18" t="s">
        <v>917</v>
      </c>
      <c r="C16" s="273">
        <v>27929</v>
      </c>
      <c r="D16" s="273">
        <v>1517</v>
      </c>
      <c r="E16" s="273">
        <v>0</v>
      </c>
      <c r="F16" s="273">
        <v>0</v>
      </c>
      <c r="G16" s="273">
        <f t="shared" si="0"/>
        <v>29446</v>
      </c>
      <c r="H16" s="302">
        <v>240</v>
      </c>
      <c r="I16" s="437">
        <f t="shared" si="1"/>
        <v>706.70399999999995</v>
      </c>
      <c r="J16" s="437">
        <f t="shared" si="2"/>
        <v>591.86500000000001</v>
      </c>
      <c r="K16" s="437">
        <f t="shared" si="3"/>
        <v>114.839</v>
      </c>
      <c r="L16" s="437">
        <v>0</v>
      </c>
      <c r="M16" s="437">
        <f t="shared" si="4"/>
        <v>141.3408</v>
      </c>
      <c r="N16" s="437">
        <f t="shared" si="5"/>
        <v>141.3408</v>
      </c>
      <c r="O16" s="437">
        <v>0</v>
      </c>
      <c r="P16" s="437">
        <v>0</v>
      </c>
      <c r="Q16" s="437">
        <v>0</v>
      </c>
      <c r="R16" s="437">
        <v>0</v>
      </c>
      <c r="S16" s="273">
        <v>150</v>
      </c>
      <c r="T16" s="273">
        <f t="shared" si="6"/>
        <v>10.6</v>
      </c>
    </row>
    <row r="17" spans="1:20">
      <c r="A17" s="272">
        <v>7</v>
      </c>
      <c r="B17" s="18" t="s">
        <v>918</v>
      </c>
      <c r="C17" s="273">
        <v>29748</v>
      </c>
      <c r="D17" s="273">
        <v>2220</v>
      </c>
      <c r="E17" s="273">
        <v>0</v>
      </c>
      <c r="F17" s="273">
        <v>0</v>
      </c>
      <c r="G17" s="273">
        <f t="shared" si="0"/>
        <v>31968</v>
      </c>
      <c r="H17" s="302">
        <v>240</v>
      </c>
      <c r="I17" s="437">
        <f t="shared" si="1"/>
        <v>767.23199999999997</v>
      </c>
      <c r="J17" s="437">
        <f t="shared" si="2"/>
        <v>642.55700000000002</v>
      </c>
      <c r="K17" s="437">
        <f t="shared" si="3"/>
        <v>124.675</v>
      </c>
      <c r="L17" s="437">
        <v>0</v>
      </c>
      <c r="M17" s="437">
        <f t="shared" si="4"/>
        <v>153.44640000000001</v>
      </c>
      <c r="N17" s="437">
        <f t="shared" si="5"/>
        <v>153.44640000000001</v>
      </c>
      <c r="O17" s="437">
        <v>0</v>
      </c>
      <c r="P17" s="437">
        <v>0</v>
      </c>
      <c r="Q17" s="437">
        <v>0</v>
      </c>
      <c r="R17" s="437">
        <v>0</v>
      </c>
      <c r="S17" s="273">
        <v>150</v>
      </c>
      <c r="T17" s="273">
        <f t="shared" si="6"/>
        <v>11.51</v>
      </c>
    </row>
    <row r="18" spans="1:20">
      <c r="A18" s="272">
        <v>8</v>
      </c>
      <c r="B18" s="18" t="s">
        <v>919</v>
      </c>
      <c r="C18" s="273">
        <v>44063</v>
      </c>
      <c r="D18" s="273">
        <v>5761</v>
      </c>
      <c r="E18" s="273">
        <v>0</v>
      </c>
      <c r="F18" s="273">
        <v>0</v>
      </c>
      <c r="G18" s="273">
        <f t="shared" si="0"/>
        <v>49824</v>
      </c>
      <c r="H18" s="302">
        <v>240</v>
      </c>
      <c r="I18" s="437">
        <f t="shared" si="1"/>
        <v>1195.7760000000001</v>
      </c>
      <c r="J18" s="437">
        <f t="shared" si="2"/>
        <v>1001.462</v>
      </c>
      <c r="K18" s="437">
        <f t="shared" si="3"/>
        <v>194.31399999999999</v>
      </c>
      <c r="L18" s="437">
        <v>0</v>
      </c>
      <c r="M18" s="437">
        <f t="shared" si="4"/>
        <v>239.15520000000001</v>
      </c>
      <c r="N18" s="437">
        <f t="shared" si="5"/>
        <v>239.15520000000001</v>
      </c>
      <c r="O18" s="437">
        <v>0</v>
      </c>
      <c r="P18" s="437">
        <v>0</v>
      </c>
      <c r="Q18" s="437">
        <v>0</v>
      </c>
      <c r="R18" s="437">
        <v>0</v>
      </c>
      <c r="S18" s="273">
        <v>150</v>
      </c>
      <c r="T18" s="273">
        <f t="shared" si="6"/>
        <v>17.940000000000001</v>
      </c>
    </row>
    <row r="19" spans="1:20">
      <c r="A19" s="272">
        <v>9</v>
      </c>
      <c r="B19" s="18" t="s">
        <v>920</v>
      </c>
      <c r="C19" s="273">
        <v>36405</v>
      </c>
      <c r="D19" s="273">
        <v>4548</v>
      </c>
      <c r="E19" s="273">
        <v>0</v>
      </c>
      <c r="F19" s="273">
        <v>0</v>
      </c>
      <c r="G19" s="273">
        <f t="shared" si="0"/>
        <v>40953</v>
      </c>
      <c r="H19" s="302">
        <v>240</v>
      </c>
      <c r="I19" s="437">
        <f t="shared" si="1"/>
        <v>982.87199999999996</v>
      </c>
      <c r="J19" s="437">
        <f t="shared" si="2"/>
        <v>823.15499999999997</v>
      </c>
      <c r="K19" s="437">
        <f t="shared" si="3"/>
        <v>159.71700000000001</v>
      </c>
      <c r="L19" s="437">
        <v>0</v>
      </c>
      <c r="M19" s="437">
        <f t="shared" si="4"/>
        <v>196.5744</v>
      </c>
      <c r="N19" s="437">
        <f t="shared" si="5"/>
        <v>196.5744</v>
      </c>
      <c r="O19" s="437">
        <v>0</v>
      </c>
      <c r="P19" s="437">
        <v>0</v>
      </c>
      <c r="Q19" s="437">
        <v>0</v>
      </c>
      <c r="R19" s="437">
        <v>0</v>
      </c>
      <c r="S19" s="273">
        <v>150</v>
      </c>
      <c r="T19" s="273">
        <f t="shared" si="6"/>
        <v>14.74</v>
      </c>
    </row>
    <row r="20" spans="1:20">
      <c r="A20" s="272">
        <v>10</v>
      </c>
      <c r="B20" s="18" t="s">
        <v>921</v>
      </c>
      <c r="C20" s="273">
        <v>47911</v>
      </c>
      <c r="D20" s="273">
        <v>4905</v>
      </c>
      <c r="E20" s="273">
        <v>0</v>
      </c>
      <c r="F20" s="273">
        <v>0</v>
      </c>
      <c r="G20" s="273">
        <f t="shared" si="0"/>
        <v>52816</v>
      </c>
      <c r="H20" s="302">
        <v>240</v>
      </c>
      <c r="I20" s="437">
        <f t="shared" si="1"/>
        <v>1267.5840000000001</v>
      </c>
      <c r="J20" s="437">
        <f t="shared" si="2"/>
        <v>1061.6020000000001</v>
      </c>
      <c r="K20" s="437">
        <f t="shared" si="3"/>
        <v>205.982</v>
      </c>
      <c r="L20" s="437">
        <v>0</v>
      </c>
      <c r="M20" s="437">
        <f t="shared" si="4"/>
        <v>253.51679999999999</v>
      </c>
      <c r="N20" s="437">
        <f t="shared" si="5"/>
        <v>253.51679999999999</v>
      </c>
      <c r="O20" s="437">
        <v>0</v>
      </c>
      <c r="P20" s="437">
        <v>0</v>
      </c>
      <c r="Q20" s="437">
        <v>0</v>
      </c>
      <c r="R20" s="437">
        <v>0</v>
      </c>
      <c r="S20" s="273">
        <v>150</v>
      </c>
      <c r="T20" s="273">
        <f t="shared" si="6"/>
        <v>19.010000000000002</v>
      </c>
    </row>
    <row r="21" spans="1:20">
      <c r="A21" s="272">
        <v>11</v>
      </c>
      <c r="B21" s="18" t="s">
        <v>922</v>
      </c>
      <c r="C21" s="273">
        <v>39877</v>
      </c>
      <c r="D21" s="273">
        <v>937</v>
      </c>
      <c r="E21" s="273">
        <v>0</v>
      </c>
      <c r="F21" s="273">
        <v>0</v>
      </c>
      <c r="G21" s="273">
        <f t="shared" si="0"/>
        <v>40814</v>
      </c>
      <c r="H21" s="302">
        <v>240</v>
      </c>
      <c r="I21" s="437">
        <f t="shared" si="1"/>
        <v>979.53600000000006</v>
      </c>
      <c r="J21" s="437">
        <f t="shared" si="2"/>
        <v>820.36099999999999</v>
      </c>
      <c r="K21" s="437">
        <f t="shared" si="3"/>
        <v>159.17500000000001</v>
      </c>
      <c r="L21" s="437">
        <v>0</v>
      </c>
      <c r="M21" s="437">
        <f t="shared" si="4"/>
        <v>195.90719999999999</v>
      </c>
      <c r="N21" s="437">
        <f t="shared" si="5"/>
        <v>195.90719999999999</v>
      </c>
      <c r="O21" s="437">
        <v>0</v>
      </c>
      <c r="P21" s="437">
        <v>0</v>
      </c>
      <c r="Q21" s="437">
        <v>0</v>
      </c>
      <c r="R21" s="437">
        <v>0</v>
      </c>
      <c r="S21" s="273">
        <v>150</v>
      </c>
      <c r="T21" s="273">
        <f t="shared" si="6"/>
        <v>14.69</v>
      </c>
    </row>
    <row r="22" spans="1:20">
      <c r="A22" s="272">
        <v>12</v>
      </c>
      <c r="B22" s="18" t="s">
        <v>923</v>
      </c>
      <c r="C22" s="273">
        <v>77364</v>
      </c>
      <c r="D22" s="273">
        <v>14958</v>
      </c>
      <c r="E22" s="273">
        <v>0</v>
      </c>
      <c r="F22" s="273">
        <v>93</v>
      </c>
      <c r="G22" s="273">
        <f t="shared" si="0"/>
        <v>92415</v>
      </c>
      <c r="H22" s="302">
        <v>240</v>
      </c>
      <c r="I22" s="437">
        <f t="shared" si="1"/>
        <v>2217.9609999999998</v>
      </c>
      <c r="J22" s="437">
        <f t="shared" si="2"/>
        <v>1857.5419999999999</v>
      </c>
      <c r="K22" s="437">
        <f t="shared" si="3"/>
        <v>360.41899999999998</v>
      </c>
      <c r="L22" s="437">
        <v>0</v>
      </c>
      <c r="M22" s="437">
        <f t="shared" si="4"/>
        <v>443.59199999999998</v>
      </c>
      <c r="N22" s="437">
        <f t="shared" si="5"/>
        <v>443.59199999999998</v>
      </c>
      <c r="O22" s="437">
        <v>0</v>
      </c>
      <c r="P22" s="437">
        <v>0</v>
      </c>
      <c r="Q22" s="437">
        <v>0</v>
      </c>
      <c r="R22" s="437">
        <v>0</v>
      </c>
      <c r="S22" s="273">
        <v>150</v>
      </c>
      <c r="T22" s="273">
        <f t="shared" si="6"/>
        <v>33.270000000000003</v>
      </c>
    </row>
    <row r="23" spans="1:20">
      <c r="A23" s="272">
        <v>13</v>
      </c>
      <c r="B23" s="18" t="s">
        <v>924</v>
      </c>
      <c r="C23" s="273">
        <v>41400</v>
      </c>
      <c r="D23" s="273">
        <v>8293</v>
      </c>
      <c r="E23" s="273">
        <v>0</v>
      </c>
      <c r="F23" s="273">
        <v>0</v>
      </c>
      <c r="G23" s="273">
        <f t="shared" si="0"/>
        <v>49693</v>
      </c>
      <c r="H23" s="302">
        <v>240</v>
      </c>
      <c r="I23" s="437">
        <f t="shared" si="1"/>
        <v>1192.6320000000001</v>
      </c>
      <c r="J23" s="437">
        <f t="shared" si="2"/>
        <v>998.82899999999995</v>
      </c>
      <c r="K23" s="437">
        <f t="shared" si="3"/>
        <v>193.803</v>
      </c>
      <c r="L23" s="437">
        <v>0</v>
      </c>
      <c r="M23" s="437">
        <f t="shared" si="4"/>
        <v>238.5264</v>
      </c>
      <c r="N23" s="437">
        <f t="shared" si="5"/>
        <v>238.5264</v>
      </c>
      <c r="O23" s="437">
        <v>0</v>
      </c>
      <c r="P23" s="437">
        <v>0</v>
      </c>
      <c r="Q23" s="437">
        <v>0</v>
      </c>
      <c r="R23" s="437">
        <v>0</v>
      </c>
      <c r="S23" s="273">
        <v>150</v>
      </c>
      <c r="T23" s="273">
        <f t="shared" si="6"/>
        <v>17.89</v>
      </c>
    </row>
    <row r="24" spans="1:20">
      <c r="A24" s="272">
        <v>14</v>
      </c>
      <c r="B24" s="18" t="s">
        <v>925</v>
      </c>
      <c r="C24" s="273">
        <v>30733</v>
      </c>
      <c r="D24" s="273">
        <v>4939</v>
      </c>
      <c r="E24" s="273">
        <v>0</v>
      </c>
      <c r="F24" s="273">
        <v>0</v>
      </c>
      <c r="G24" s="273">
        <f t="shared" si="0"/>
        <v>35672</v>
      </c>
      <c r="H24" s="302">
        <v>240</v>
      </c>
      <c r="I24" s="437">
        <f t="shared" si="1"/>
        <v>856.12799999999993</v>
      </c>
      <c r="J24" s="437">
        <f t="shared" si="2"/>
        <v>717.00699999999995</v>
      </c>
      <c r="K24" s="437">
        <f t="shared" si="3"/>
        <v>139.12100000000001</v>
      </c>
      <c r="L24" s="437">
        <v>0</v>
      </c>
      <c r="M24" s="437">
        <f t="shared" si="4"/>
        <v>171.22559999999999</v>
      </c>
      <c r="N24" s="437">
        <f t="shared" si="5"/>
        <v>171.22559999999999</v>
      </c>
      <c r="O24" s="437">
        <v>0</v>
      </c>
      <c r="P24" s="437">
        <v>0</v>
      </c>
      <c r="Q24" s="437">
        <v>0</v>
      </c>
      <c r="R24" s="437">
        <v>0</v>
      </c>
      <c r="S24" s="273">
        <v>150</v>
      </c>
      <c r="T24" s="273">
        <f t="shared" si="6"/>
        <v>12.84</v>
      </c>
    </row>
    <row r="25" spans="1:20">
      <c r="A25" s="272">
        <v>15</v>
      </c>
      <c r="B25" s="18" t="s">
        <v>926</v>
      </c>
      <c r="C25" s="273">
        <v>11713</v>
      </c>
      <c r="D25" s="273">
        <v>249</v>
      </c>
      <c r="E25" s="273">
        <v>0</v>
      </c>
      <c r="F25" s="273">
        <v>0</v>
      </c>
      <c r="G25" s="273">
        <f t="shared" si="0"/>
        <v>11962</v>
      </c>
      <c r="H25" s="302">
        <v>240</v>
      </c>
      <c r="I25" s="437">
        <f t="shared" si="1"/>
        <v>287.08800000000002</v>
      </c>
      <c r="J25" s="437">
        <f t="shared" si="2"/>
        <v>240.43600000000001</v>
      </c>
      <c r="K25" s="437">
        <f t="shared" si="3"/>
        <v>46.652000000000001</v>
      </c>
      <c r="L25" s="437">
        <v>0</v>
      </c>
      <c r="M25" s="437">
        <f t="shared" si="4"/>
        <v>57.4176</v>
      </c>
      <c r="N25" s="437">
        <f t="shared" si="5"/>
        <v>57.4176</v>
      </c>
      <c r="O25" s="437">
        <v>0</v>
      </c>
      <c r="P25" s="437">
        <v>0</v>
      </c>
      <c r="Q25" s="437">
        <v>0</v>
      </c>
      <c r="R25" s="437">
        <v>0</v>
      </c>
      <c r="S25" s="273">
        <v>150</v>
      </c>
      <c r="T25" s="273">
        <f t="shared" si="6"/>
        <v>4.3099999999999996</v>
      </c>
    </row>
    <row r="26" spans="1:20">
      <c r="A26" s="272">
        <v>16</v>
      </c>
      <c r="B26" s="18" t="s">
        <v>927</v>
      </c>
      <c r="C26" s="273">
        <v>47310</v>
      </c>
      <c r="D26" s="273">
        <v>5516</v>
      </c>
      <c r="E26" s="273">
        <v>0</v>
      </c>
      <c r="F26" s="273">
        <v>0</v>
      </c>
      <c r="G26" s="273">
        <f t="shared" si="0"/>
        <v>52826</v>
      </c>
      <c r="H26" s="302">
        <v>240</v>
      </c>
      <c r="I26" s="437">
        <f t="shared" si="1"/>
        <v>1267.8240000000001</v>
      </c>
      <c r="J26" s="437">
        <f t="shared" si="2"/>
        <v>1061.8030000000001</v>
      </c>
      <c r="K26" s="437">
        <f t="shared" si="3"/>
        <v>206.02099999999999</v>
      </c>
      <c r="L26" s="437">
        <v>0</v>
      </c>
      <c r="M26" s="437">
        <f t="shared" si="4"/>
        <v>253.56479999999999</v>
      </c>
      <c r="N26" s="437">
        <f t="shared" si="5"/>
        <v>253.56479999999999</v>
      </c>
      <c r="O26" s="437">
        <v>0</v>
      </c>
      <c r="P26" s="437">
        <v>0</v>
      </c>
      <c r="Q26" s="437">
        <v>0</v>
      </c>
      <c r="R26" s="437">
        <v>0</v>
      </c>
      <c r="S26" s="273">
        <v>150</v>
      </c>
      <c r="T26" s="273">
        <f t="shared" si="6"/>
        <v>19.02</v>
      </c>
    </row>
    <row r="27" spans="1:20">
      <c r="A27" s="272">
        <v>17</v>
      </c>
      <c r="B27" s="18" t="s">
        <v>928</v>
      </c>
      <c r="C27" s="273">
        <v>31396</v>
      </c>
      <c r="D27" s="273">
        <v>3161</v>
      </c>
      <c r="E27" s="273">
        <v>0</v>
      </c>
      <c r="F27" s="273">
        <v>0</v>
      </c>
      <c r="G27" s="273">
        <f t="shared" si="0"/>
        <v>34557</v>
      </c>
      <c r="H27" s="302">
        <v>240</v>
      </c>
      <c r="I27" s="437">
        <f t="shared" si="1"/>
        <v>829.36799999999994</v>
      </c>
      <c r="J27" s="437">
        <f t="shared" si="2"/>
        <v>694.596</v>
      </c>
      <c r="K27" s="437">
        <f t="shared" si="3"/>
        <v>134.77199999999999</v>
      </c>
      <c r="L27" s="437">
        <v>0</v>
      </c>
      <c r="M27" s="437">
        <f t="shared" si="4"/>
        <v>165.87360000000001</v>
      </c>
      <c r="N27" s="437">
        <f t="shared" si="5"/>
        <v>165.87360000000001</v>
      </c>
      <c r="O27" s="437">
        <v>0</v>
      </c>
      <c r="P27" s="437">
        <v>0</v>
      </c>
      <c r="Q27" s="437">
        <v>0</v>
      </c>
      <c r="R27" s="437">
        <v>0</v>
      </c>
      <c r="S27" s="273">
        <v>150</v>
      </c>
      <c r="T27" s="273">
        <f t="shared" si="6"/>
        <v>12.44</v>
      </c>
    </row>
    <row r="28" spans="1:20">
      <c r="A28" s="272">
        <v>18</v>
      </c>
      <c r="B28" s="18" t="s">
        <v>929</v>
      </c>
      <c r="C28" s="273">
        <v>40860</v>
      </c>
      <c r="D28" s="273">
        <v>16910</v>
      </c>
      <c r="E28" s="273">
        <v>0</v>
      </c>
      <c r="F28" s="273">
        <v>0</v>
      </c>
      <c r="G28" s="273">
        <f t="shared" si="0"/>
        <v>57770</v>
      </c>
      <c r="H28" s="302">
        <v>240</v>
      </c>
      <c r="I28" s="437">
        <f t="shared" si="1"/>
        <v>1386.48</v>
      </c>
      <c r="J28" s="437">
        <f t="shared" si="2"/>
        <v>1161.1769999999999</v>
      </c>
      <c r="K28" s="437">
        <f t="shared" si="3"/>
        <v>225.303</v>
      </c>
      <c r="L28" s="437">
        <v>0</v>
      </c>
      <c r="M28" s="437">
        <f t="shared" si="4"/>
        <v>277.29599999999999</v>
      </c>
      <c r="N28" s="437">
        <f t="shared" si="5"/>
        <v>277.29599999999999</v>
      </c>
      <c r="O28" s="437">
        <v>0</v>
      </c>
      <c r="P28" s="437">
        <v>0</v>
      </c>
      <c r="Q28" s="437">
        <v>0</v>
      </c>
      <c r="R28" s="437">
        <v>0</v>
      </c>
      <c r="S28" s="273">
        <v>150</v>
      </c>
      <c r="T28" s="273">
        <f t="shared" si="6"/>
        <v>20.8</v>
      </c>
    </row>
    <row r="29" spans="1:20">
      <c r="A29" s="272">
        <v>19</v>
      </c>
      <c r="B29" s="18" t="s">
        <v>930</v>
      </c>
      <c r="C29" s="273">
        <v>22796</v>
      </c>
      <c r="D29" s="273">
        <v>8905</v>
      </c>
      <c r="E29" s="273">
        <v>0</v>
      </c>
      <c r="F29" s="273">
        <v>0</v>
      </c>
      <c r="G29" s="273">
        <f t="shared" si="0"/>
        <v>31701</v>
      </c>
      <c r="H29" s="302">
        <v>240</v>
      </c>
      <c r="I29" s="437">
        <f t="shared" si="1"/>
        <v>760.82400000000007</v>
      </c>
      <c r="J29" s="437">
        <f t="shared" si="2"/>
        <v>637.19000000000005</v>
      </c>
      <c r="K29" s="437">
        <f t="shared" si="3"/>
        <v>123.634</v>
      </c>
      <c r="L29" s="437">
        <v>0</v>
      </c>
      <c r="M29" s="437">
        <f t="shared" si="4"/>
        <v>152.16480000000001</v>
      </c>
      <c r="N29" s="437">
        <f t="shared" si="5"/>
        <v>152.16480000000001</v>
      </c>
      <c r="O29" s="437">
        <v>0</v>
      </c>
      <c r="P29" s="437">
        <v>0</v>
      </c>
      <c r="Q29" s="437">
        <v>0</v>
      </c>
      <c r="R29" s="437">
        <v>0</v>
      </c>
      <c r="S29" s="273">
        <v>150</v>
      </c>
      <c r="T29" s="273">
        <f t="shared" si="6"/>
        <v>11.41</v>
      </c>
    </row>
    <row r="30" spans="1:20">
      <c r="A30" s="272">
        <v>20</v>
      </c>
      <c r="B30" s="18" t="s">
        <v>931</v>
      </c>
      <c r="C30" s="273">
        <v>66353</v>
      </c>
      <c r="D30" s="273">
        <v>11110</v>
      </c>
      <c r="E30" s="273">
        <v>0</v>
      </c>
      <c r="F30" s="273">
        <v>0</v>
      </c>
      <c r="G30" s="273">
        <f t="shared" si="0"/>
        <v>77463</v>
      </c>
      <c r="H30" s="302">
        <v>240</v>
      </c>
      <c r="I30" s="437">
        <f t="shared" si="1"/>
        <v>1859.1120000000001</v>
      </c>
      <c r="J30" s="437">
        <f t="shared" si="2"/>
        <v>1557.0060000000001</v>
      </c>
      <c r="K30" s="437">
        <f t="shared" si="3"/>
        <v>302.10599999999999</v>
      </c>
      <c r="L30" s="437">
        <v>0</v>
      </c>
      <c r="M30" s="437">
        <f t="shared" si="4"/>
        <v>371.82240000000002</v>
      </c>
      <c r="N30" s="437">
        <f t="shared" si="5"/>
        <v>371.82240000000002</v>
      </c>
      <c r="O30" s="437">
        <v>0</v>
      </c>
      <c r="P30" s="437">
        <v>0</v>
      </c>
      <c r="Q30" s="437">
        <v>0</v>
      </c>
      <c r="R30" s="437">
        <v>0</v>
      </c>
      <c r="S30" s="273">
        <v>150</v>
      </c>
      <c r="T30" s="273">
        <f t="shared" si="6"/>
        <v>27.89</v>
      </c>
    </row>
    <row r="31" spans="1:20">
      <c r="A31" s="272">
        <v>21</v>
      </c>
      <c r="B31" s="18" t="s">
        <v>932</v>
      </c>
      <c r="C31" s="273">
        <v>23336</v>
      </c>
      <c r="D31" s="273">
        <v>1266</v>
      </c>
      <c r="E31" s="273">
        <v>0</v>
      </c>
      <c r="F31" s="273">
        <v>0</v>
      </c>
      <c r="G31" s="273">
        <f t="shared" si="0"/>
        <v>24602</v>
      </c>
      <c r="H31" s="302">
        <v>240</v>
      </c>
      <c r="I31" s="437">
        <f t="shared" si="1"/>
        <v>590.44799999999998</v>
      </c>
      <c r="J31" s="437">
        <f t="shared" si="2"/>
        <v>494.5</v>
      </c>
      <c r="K31" s="437">
        <f t="shared" si="3"/>
        <v>95.947999999999993</v>
      </c>
      <c r="L31" s="437">
        <v>0</v>
      </c>
      <c r="M31" s="437">
        <f t="shared" si="4"/>
        <v>118.0896</v>
      </c>
      <c r="N31" s="437">
        <f t="shared" si="5"/>
        <v>118.0896</v>
      </c>
      <c r="O31" s="437">
        <v>0</v>
      </c>
      <c r="P31" s="437">
        <v>0</v>
      </c>
      <c r="Q31" s="437">
        <v>0</v>
      </c>
      <c r="R31" s="437">
        <v>0</v>
      </c>
      <c r="S31" s="273">
        <v>150</v>
      </c>
      <c r="T31" s="273">
        <f t="shared" si="6"/>
        <v>8.86</v>
      </c>
    </row>
    <row r="32" spans="1:20">
      <c r="A32" s="272">
        <v>22</v>
      </c>
      <c r="B32" s="18" t="s">
        <v>933</v>
      </c>
      <c r="C32" s="273">
        <v>36478</v>
      </c>
      <c r="D32" s="273">
        <v>3945</v>
      </c>
      <c r="E32" s="273">
        <v>0</v>
      </c>
      <c r="F32" s="273">
        <v>0</v>
      </c>
      <c r="G32" s="273">
        <f t="shared" si="0"/>
        <v>40423</v>
      </c>
      <c r="H32" s="302">
        <v>240</v>
      </c>
      <c r="I32" s="437">
        <f t="shared" si="1"/>
        <v>970.15199999999993</v>
      </c>
      <c r="J32" s="437">
        <f t="shared" si="2"/>
        <v>812.50199999999995</v>
      </c>
      <c r="K32" s="437">
        <f t="shared" si="3"/>
        <v>157.65</v>
      </c>
      <c r="L32" s="437">
        <v>0</v>
      </c>
      <c r="M32" s="437">
        <f t="shared" si="4"/>
        <v>194.03039999999999</v>
      </c>
      <c r="N32" s="437">
        <f t="shared" si="5"/>
        <v>194.03039999999999</v>
      </c>
      <c r="O32" s="437">
        <v>0</v>
      </c>
      <c r="P32" s="437">
        <v>0</v>
      </c>
      <c r="Q32" s="437">
        <v>0</v>
      </c>
      <c r="R32" s="437">
        <v>0</v>
      </c>
      <c r="S32" s="273">
        <v>150</v>
      </c>
      <c r="T32" s="273">
        <f t="shared" si="6"/>
        <v>14.55</v>
      </c>
    </row>
    <row r="33" spans="1:21">
      <c r="A33" s="272">
        <v>23</v>
      </c>
      <c r="B33" s="273" t="s">
        <v>934</v>
      </c>
      <c r="C33" s="273">
        <v>82369</v>
      </c>
      <c r="D33" s="273">
        <v>9265</v>
      </c>
      <c r="E33" s="273">
        <v>0</v>
      </c>
      <c r="F33" s="273">
        <v>0</v>
      </c>
      <c r="G33" s="273">
        <f t="shared" si="0"/>
        <v>91634</v>
      </c>
      <c r="H33" s="302">
        <v>240</v>
      </c>
      <c r="I33" s="437">
        <f t="shared" si="1"/>
        <v>2199.2159999999999</v>
      </c>
      <c r="J33" s="437">
        <f t="shared" si="2"/>
        <v>1841.8430000000001</v>
      </c>
      <c r="K33" s="437">
        <f t="shared" si="3"/>
        <v>357.37299999999999</v>
      </c>
      <c r="L33" s="437">
        <v>0</v>
      </c>
      <c r="M33" s="437">
        <f t="shared" si="4"/>
        <v>439.84320000000002</v>
      </c>
      <c r="N33" s="437">
        <f t="shared" si="5"/>
        <v>439.84320000000002</v>
      </c>
      <c r="O33" s="437">
        <v>0</v>
      </c>
      <c r="P33" s="437">
        <v>0</v>
      </c>
      <c r="Q33" s="437">
        <v>0</v>
      </c>
      <c r="R33" s="437">
        <v>0</v>
      </c>
      <c r="S33" s="273">
        <v>150</v>
      </c>
      <c r="T33" s="273">
        <f t="shared" si="6"/>
        <v>32.99</v>
      </c>
    </row>
    <row r="34" spans="1:21">
      <c r="A34" s="272">
        <v>24</v>
      </c>
      <c r="B34" s="273" t="s">
        <v>935</v>
      </c>
      <c r="C34" s="273">
        <v>53346</v>
      </c>
      <c r="D34" s="273">
        <v>6484</v>
      </c>
      <c r="E34" s="273">
        <v>0</v>
      </c>
      <c r="F34" s="273">
        <v>0</v>
      </c>
      <c r="G34" s="273">
        <f t="shared" si="0"/>
        <v>59830</v>
      </c>
      <c r="H34" s="302">
        <v>240</v>
      </c>
      <c r="I34" s="437">
        <f t="shared" si="1"/>
        <v>1435.92</v>
      </c>
      <c r="J34" s="437">
        <f t="shared" si="2"/>
        <v>1202.5830000000001</v>
      </c>
      <c r="K34" s="437">
        <f t="shared" si="3"/>
        <v>233.33699999999999</v>
      </c>
      <c r="L34" s="437">
        <v>0</v>
      </c>
      <c r="M34" s="437">
        <f t="shared" si="4"/>
        <v>287.18400000000003</v>
      </c>
      <c r="N34" s="437">
        <f t="shared" si="5"/>
        <v>287.18400000000003</v>
      </c>
      <c r="O34" s="437">
        <v>0</v>
      </c>
      <c r="P34" s="437">
        <v>0</v>
      </c>
      <c r="Q34" s="437">
        <v>0</v>
      </c>
      <c r="R34" s="437">
        <v>0</v>
      </c>
      <c r="S34" s="273">
        <v>150</v>
      </c>
      <c r="T34" s="273">
        <f t="shared" si="6"/>
        <v>21.54</v>
      </c>
    </row>
    <row r="35" spans="1:21">
      <c r="A35" s="272">
        <v>25</v>
      </c>
      <c r="B35" s="273" t="s">
        <v>936</v>
      </c>
      <c r="C35" s="273">
        <v>104975</v>
      </c>
      <c r="D35" s="273">
        <v>11780</v>
      </c>
      <c r="E35" s="273">
        <v>0</v>
      </c>
      <c r="F35" s="273">
        <v>0</v>
      </c>
      <c r="G35" s="273">
        <f t="shared" si="0"/>
        <v>116755</v>
      </c>
      <c r="H35" s="302">
        <v>240</v>
      </c>
      <c r="I35" s="437">
        <f t="shared" si="1"/>
        <v>2802.1210000000001</v>
      </c>
      <c r="J35" s="437">
        <f t="shared" si="2"/>
        <v>2346.7759999999998</v>
      </c>
      <c r="K35" s="437">
        <f t="shared" si="3"/>
        <v>455.34500000000003</v>
      </c>
      <c r="L35" s="437">
        <v>0</v>
      </c>
      <c r="M35" s="437">
        <f t="shared" si="4"/>
        <v>560.42399999999998</v>
      </c>
      <c r="N35" s="437">
        <f t="shared" si="5"/>
        <v>560.42399999999998</v>
      </c>
      <c r="O35" s="437">
        <v>0</v>
      </c>
      <c r="P35" s="437">
        <v>0</v>
      </c>
      <c r="Q35" s="437">
        <v>0</v>
      </c>
      <c r="R35" s="437">
        <v>0</v>
      </c>
      <c r="S35" s="273">
        <v>150</v>
      </c>
      <c r="T35" s="273">
        <f t="shared" si="6"/>
        <v>42.03</v>
      </c>
    </row>
    <row r="36" spans="1:21">
      <c r="A36" s="272">
        <v>26</v>
      </c>
      <c r="B36" s="273" t="s">
        <v>937</v>
      </c>
      <c r="C36" s="273">
        <v>127428</v>
      </c>
      <c r="D36" s="273">
        <v>30534</v>
      </c>
      <c r="E36" s="273">
        <v>0</v>
      </c>
      <c r="F36" s="273">
        <v>0</v>
      </c>
      <c r="G36" s="273">
        <f t="shared" si="0"/>
        <v>157962</v>
      </c>
      <c r="H36" s="302">
        <v>240</v>
      </c>
      <c r="I36" s="437">
        <f t="shared" si="1"/>
        <v>3791.0880000000002</v>
      </c>
      <c r="J36" s="437">
        <f t="shared" si="2"/>
        <v>3175.0360000000001</v>
      </c>
      <c r="K36" s="437">
        <f t="shared" si="3"/>
        <v>616.05200000000002</v>
      </c>
      <c r="L36" s="437">
        <v>0</v>
      </c>
      <c r="M36" s="437">
        <f t="shared" si="4"/>
        <v>758.21759999999995</v>
      </c>
      <c r="N36" s="437">
        <f t="shared" si="5"/>
        <v>758.21759999999995</v>
      </c>
      <c r="O36" s="437">
        <v>0</v>
      </c>
      <c r="P36" s="437">
        <v>0</v>
      </c>
      <c r="Q36" s="437">
        <v>0</v>
      </c>
      <c r="R36" s="437">
        <v>0</v>
      </c>
      <c r="S36" s="273">
        <v>150</v>
      </c>
      <c r="T36" s="273">
        <f t="shared" si="6"/>
        <v>56.87</v>
      </c>
    </row>
    <row r="37" spans="1:21">
      <c r="A37" s="272">
        <v>27</v>
      </c>
      <c r="B37" s="273" t="s">
        <v>938</v>
      </c>
      <c r="C37" s="273">
        <v>109657</v>
      </c>
      <c r="D37" s="273">
        <v>21834</v>
      </c>
      <c r="E37" s="273">
        <v>0</v>
      </c>
      <c r="F37" s="273">
        <v>0</v>
      </c>
      <c r="G37" s="273">
        <f t="shared" si="0"/>
        <v>131491</v>
      </c>
      <c r="H37" s="302">
        <v>240</v>
      </c>
      <c r="I37" s="437">
        <f t="shared" si="1"/>
        <v>3155.7840000000001</v>
      </c>
      <c r="J37" s="437">
        <f t="shared" si="2"/>
        <v>2642.9690000000001</v>
      </c>
      <c r="K37" s="437">
        <f t="shared" si="3"/>
        <v>512.81500000000005</v>
      </c>
      <c r="L37" s="437">
        <v>0</v>
      </c>
      <c r="M37" s="437">
        <f t="shared" si="4"/>
        <v>631.15679999999998</v>
      </c>
      <c r="N37" s="437">
        <f t="shared" si="5"/>
        <v>631.15679999999998</v>
      </c>
      <c r="O37" s="437">
        <v>0</v>
      </c>
      <c r="P37" s="437">
        <v>0</v>
      </c>
      <c r="Q37" s="437">
        <v>0</v>
      </c>
      <c r="R37" s="437">
        <v>0</v>
      </c>
      <c r="S37" s="273">
        <v>150</v>
      </c>
      <c r="T37" s="273">
        <f t="shared" si="6"/>
        <v>47.34</v>
      </c>
    </row>
    <row r="38" spans="1:21">
      <c r="A38" s="272">
        <v>28</v>
      </c>
      <c r="B38" s="273" t="s">
        <v>939</v>
      </c>
      <c r="C38" s="273">
        <v>131914</v>
      </c>
      <c r="D38" s="273">
        <v>15572</v>
      </c>
      <c r="E38" s="273">
        <v>0</v>
      </c>
      <c r="F38" s="273">
        <v>0</v>
      </c>
      <c r="G38" s="273">
        <f t="shared" si="0"/>
        <v>147486</v>
      </c>
      <c r="H38" s="302">
        <v>240</v>
      </c>
      <c r="I38" s="437">
        <f t="shared" si="1"/>
        <v>3539.6640000000002</v>
      </c>
      <c r="J38" s="437">
        <f t="shared" si="2"/>
        <v>2964.4690000000001</v>
      </c>
      <c r="K38" s="437">
        <f t="shared" si="3"/>
        <v>575.19500000000005</v>
      </c>
      <c r="L38" s="437">
        <v>0</v>
      </c>
      <c r="M38" s="437">
        <f t="shared" si="4"/>
        <v>707.93280000000004</v>
      </c>
      <c r="N38" s="437">
        <f t="shared" si="5"/>
        <v>707.93280000000004</v>
      </c>
      <c r="O38" s="437">
        <v>0</v>
      </c>
      <c r="P38" s="437">
        <v>0</v>
      </c>
      <c r="Q38" s="437">
        <v>0</v>
      </c>
      <c r="R38" s="437">
        <v>0</v>
      </c>
      <c r="S38" s="273">
        <v>150</v>
      </c>
      <c r="T38" s="273">
        <f t="shared" si="6"/>
        <v>53.09</v>
      </c>
    </row>
    <row r="39" spans="1:21">
      <c r="A39" s="272">
        <v>29</v>
      </c>
      <c r="B39" s="273" t="s">
        <v>940</v>
      </c>
      <c r="C39" s="273">
        <v>58077</v>
      </c>
      <c r="D39" s="273">
        <v>20412</v>
      </c>
      <c r="E39" s="273">
        <v>0</v>
      </c>
      <c r="F39" s="273">
        <v>1214</v>
      </c>
      <c r="G39" s="273">
        <f t="shared" si="0"/>
        <v>79703</v>
      </c>
      <c r="H39" s="302">
        <v>240</v>
      </c>
      <c r="I39" s="437">
        <f t="shared" si="1"/>
        <v>1912.8719999999998</v>
      </c>
      <c r="J39" s="437">
        <f t="shared" si="2"/>
        <v>1602.03</v>
      </c>
      <c r="K39" s="437">
        <f t="shared" si="3"/>
        <v>310.84199999999998</v>
      </c>
      <c r="L39" s="437">
        <v>0</v>
      </c>
      <c r="M39" s="437">
        <f t="shared" si="4"/>
        <v>382.57440000000003</v>
      </c>
      <c r="N39" s="437">
        <f t="shared" si="5"/>
        <v>382.57440000000003</v>
      </c>
      <c r="O39" s="437">
        <v>0</v>
      </c>
      <c r="P39" s="437">
        <v>0</v>
      </c>
      <c r="Q39" s="437">
        <v>0</v>
      </c>
      <c r="R39" s="437">
        <v>0</v>
      </c>
      <c r="S39" s="273">
        <v>150</v>
      </c>
      <c r="T39" s="273">
        <f t="shared" si="6"/>
        <v>28.69</v>
      </c>
    </row>
    <row r="40" spans="1:21">
      <c r="A40" s="272">
        <v>30</v>
      </c>
      <c r="B40" s="273" t="s">
        <v>941</v>
      </c>
      <c r="C40" s="273">
        <v>115796</v>
      </c>
      <c r="D40" s="273">
        <v>14690</v>
      </c>
      <c r="E40" s="273">
        <v>0</v>
      </c>
      <c r="F40" s="273">
        <v>0</v>
      </c>
      <c r="G40" s="273">
        <f t="shared" si="0"/>
        <v>130486</v>
      </c>
      <c r="H40" s="302">
        <v>240</v>
      </c>
      <c r="I40" s="437">
        <f t="shared" si="1"/>
        <v>3131.6639999999998</v>
      </c>
      <c r="J40" s="437">
        <f t="shared" si="2"/>
        <v>2622.7689999999998</v>
      </c>
      <c r="K40" s="437">
        <f t="shared" si="3"/>
        <v>508.89499999999998</v>
      </c>
      <c r="L40" s="437">
        <v>0</v>
      </c>
      <c r="M40" s="437">
        <f t="shared" si="4"/>
        <v>626.33280000000002</v>
      </c>
      <c r="N40" s="437">
        <f t="shared" si="5"/>
        <v>626.33280000000002</v>
      </c>
      <c r="O40" s="437">
        <v>0</v>
      </c>
      <c r="P40" s="437">
        <v>0</v>
      </c>
      <c r="Q40" s="437">
        <v>0</v>
      </c>
      <c r="R40" s="437">
        <v>0</v>
      </c>
      <c r="S40" s="273">
        <v>150</v>
      </c>
      <c r="T40" s="273">
        <f t="shared" si="6"/>
        <v>46.97</v>
      </c>
    </row>
    <row r="41" spans="1:21">
      <c r="A41" s="272">
        <v>31</v>
      </c>
      <c r="B41" s="273" t="s">
        <v>942</v>
      </c>
      <c r="C41" s="273">
        <v>116188</v>
      </c>
      <c r="D41" s="273">
        <v>25417</v>
      </c>
      <c r="E41" s="273">
        <v>0</v>
      </c>
      <c r="F41" s="273">
        <v>0</v>
      </c>
      <c r="G41" s="273">
        <f t="shared" si="0"/>
        <v>141605</v>
      </c>
      <c r="H41" s="302">
        <v>240</v>
      </c>
      <c r="I41" s="437">
        <f t="shared" si="1"/>
        <v>3398.5209999999997</v>
      </c>
      <c r="J41" s="437">
        <f t="shared" si="2"/>
        <v>2846.261</v>
      </c>
      <c r="K41" s="437">
        <f t="shared" si="3"/>
        <v>552.26</v>
      </c>
      <c r="L41" s="437">
        <v>0</v>
      </c>
      <c r="M41" s="437">
        <f t="shared" si="4"/>
        <v>679.70399999999995</v>
      </c>
      <c r="N41" s="437">
        <f t="shared" si="5"/>
        <v>679.70399999999995</v>
      </c>
      <c r="O41" s="437">
        <v>0</v>
      </c>
      <c r="P41" s="437">
        <v>0</v>
      </c>
      <c r="Q41" s="437">
        <v>0</v>
      </c>
      <c r="R41" s="437">
        <v>0</v>
      </c>
      <c r="S41" s="273">
        <v>150</v>
      </c>
      <c r="T41" s="273">
        <f t="shared" si="6"/>
        <v>50.98</v>
      </c>
    </row>
    <row r="42" spans="1:21">
      <c r="A42" s="272">
        <v>32</v>
      </c>
      <c r="B42" s="273" t="s">
        <v>943</v>
      </c>
      <c r="C42" s="273">
        <v>85812</v>
      </c>
      <c r="D42" s="273">
        <v>5480</v>
      </c>
      <c r="E42" s="273">
        <v>0</v>
      </c>
      <c r="F42" s="273">
        <v>0</v>
      </c>
      <c r="G42" s="273">
        <f t="shared" si="0"/>
        <v>91292</v>
      </c>
      <c r="H42" s="302">
        <v>240</v>
      </c>
      <c r="I42" s="437">
        <f t="shared" si="1"/>
        <v>2191.0079999999998</v>
      </c>
      <c r="J42" s="437">
        <f t="shared" si="2"/>
        <v>1834.9690000000001</v>
      </c>
      <c r="K42" s="437">
        <f t="shared" si="3"/>
        <v>356.03899999999999</v>
      </c>
      <c r="L42" s="437">
        <v>0</v>
      </c>
      <c r="M42" s="437">
        <f t="shared" si="4"/>
        <v>438.20159999999998</v>
      </c>
      <c r="N42" s="437">
        <f t="shared" si="5"/>
        <v>438.20159999999998</v>
      </c>
      <c r="O42" s="437">
        <v>0</v>
      </c>
      <c r="P42" s="437">
        <v>0</v>
      </c>
      <c r="Q42" s="437">
        <v>0</v>
      </c>
      <c r="R42" s="437">
        <v>0</v>
      </c>
      <c r="S42" s="273">
        <v>150</v>
      </c>
      <c r="T42" s="273">
        <f t="shared" si="6"/>
        <v>32.869999999999997</v>
      </c>
    </row>
    <row r="43" spans="1:21">
      <c r="A43" s="272">
        <v>33</v>
      </c>
      <c r="B43" s="273" t="s">
        <v>944</v>
      </c>
      <c r="C43" s="273">
        <v>130053</v>
      </c>
      <c r="D43" s="273">
        <v>9105</v>
      </c>
      <c r="E43" s="273">
        <v>0</v>
      </c>
      <c r="F43" s="273">
        <v>68</v>
      </c>
      <c r="G43" s="273">
        <f t="shared" si="0"/>
        <v>139226</v>
      </c>
      <c r="H43" s="302">
        <v>240</v>
      </c>
      <c r="I43" s="437">
        <f t="shared" si="1"/>
        <v>3341.424</v>
      </c>
      <c r="J43" s="437">
        <f t="shared" si="2"/>
        <v>2798.4430000000002</v>
      </c>
      <c r="K43" s="437">
        <f t="shared" si="3"/>
        <v>542.98099999999999</v>
      </c>
      <c r="L43" s="437">
        <v>0</v>
      </c>
      <c r="M43" s="437">
        <f t="shared" si="4"/>
        <v>668.28480000000002</v>
      </c>
      <c r="N43" s="437">
        <f t="shared" si="5"/>
        <v>668.28480000000002</v>
      </c>
      <c r="O43" s="437">
        <v>0</v>
      </c>
      <c r="P43" s="437">
        <v>0</v>
      </c>
      <c r="Q43" s="437">
        <v>0</v>
      </c>
      <c r="R43" s="437">
        <v>0</v>
      </c>
      <c r="S43" s="273">
        <v>150</v>
      </c>
      <c r="T43" s="273">
        <f t="shared" si="6"/>
        <v>50.12</v>
      </c>
    </row>
    <row r="44" spans="1:21">
      <c r="A44" s="272">
        <v>34</v>
      </c>
      <c r="B44" s="273" t="s">
        <v>945</v>
      </c>
      <c r="C44" s="273">
        <v>88428</v>
      </c>
      <c r="D44" s="273">
        <v>4530</v>
      </c>
      <c r="E44" s="273">
        <v>0</v>
      </c>
      <c r="F44" s="273">
        <v>0</v>
      </c>
      <c r="G44" s="273">
        <f t="shared" si="0"/>
        <v>92958</v>
      </c>
      <c r="H44" s="302">
        <v>240</v>
      </c>
      <c r="I44" s="437">
        <f t="shared" si="1"/>
        <v>2230.9919999999997</v>
      </c>
      <c r="J44" s="437">
        <f t="shared" si="2"/>
        <v>1868.4559999999999</v>
      </c>
      <c r="K44" s="437">
        <f t="shared" si="3"/>
        <v>362.536</v>
      </c>
      <c r="L44" s="437">
        <v>0</v>
      </c>
      <c r="M44" s="437">
        <f t="shared" si="4"/>
        <v>446.19839999999999</v>
      </c>
      <c r="N44" s="437">
        <f t="shared" si="5"/>
        <v>446.19839999999999</v>
      </c>
      <c r="O44" s="437">
        <v>0</v>
      </c>
      <c r="P44" s="437">
        <v>0</v>
      </c>
      <c r="Q44" s="437">
        <v>0</v>
      </c>
      <c r="R44" s="437">
        <v>0</v>
      </c>
      <c r="S44" s="273">
        <v>150</v>
      </c>
      <c r="T44" s="273">
        <f t="shared" si="6"/>
        <v>33.46</v>
      </c>
    </row>
    <row r="45" spans="1:21" s="257" customFormat="1">
      <c r="A45" s="329" t="s">
        <v>17</v>
      </c>
      <c r="B45" s="399"/>
      <c r="C45" s="399">
        <f>SUM(C11:C44)</f>
        <v>2103503</v>
      </c>
      <c r="D45" s="399">
        <f>SUM(D11:D44)</f>
        <v>333580</v>
      </c>
      <c r="E45" s="399">
        <f>SUM(E11:E44)</f>
        <v>0</v>
      </c>
      <c r="F45" s="399">
        <f>SUM(F11:F44)</f>
        <v>1396</v>
      </c>
      <c r="G45" s="399">
        <f>SUM(C45:F45)</f>
        <v>2438479</v>
      </c>
      <c r="H45" s="438"/>
      <c r="I45" s="439">
        <f t="shared" ref="I45:N45" si="7">SUM(I11:I44)</f>
        <v>58523.5</v>
      </c>
      <c r="J45" s="439">
        <f t="shared" si="7"/>
        <v>49013.429999999993</v>
      </c>
      <c r="K45" s="439">
        <f t="shared" si="7"/>
        <v>9510.0699999999979</v>
      </c>
      <c r="L45" s="439">
        <f t="shared" si="7"/>
        <v>0</v>
      </c>
      <c r="M45" s="439">
        <f t="shared" si="7"/>
        <v>11704.699199999999</v>
      </c>
      <c r="N45" s="439">
        <f t="shared" si="7"/>
        <v>11704.699199999999</v>
      </c>
      <c r="O45" s="439">
        <f t="shared" ref="O45:R45" si="8">SUM(O11:O44)</f>
        <v>0</v>
      </c>
      <c r="P45" s="439">
        <f t="shared" si="8"/>
        <v>0</v>
      </c>
      <c r="Q45" s="439">
        <f t="shared" si="8"/>
        <v>0</v>
      </c>
      <c r="R45" s="439">
        <f t="shared" si="8"/>
        <v>0</v>
      </c>
      <c r="S45" s="399"/>
      <c r="T45" s="399">
        <f>SUM(T11:T44)</f>
        <v>877.84000000000026</v>
      </c>
      <c r="U45" s="278"/>
    </row>
    <row r="46" spans="1:21">
      <c r="A46" s="275"/>
      <c r="B46" s="275"/>
      <c r="C46" s="275"/>
      <c r="D46" s="275"/>
      <c r="E46" s="275"/>
      <c r="F46" s="275"/>
      <c r="G46" s="275"/>
      <c r="H46" s="275"/>
      <c r="I46" s="268">
        <f>J46+K46</f>
        <v>99.999999999999986</v>
      </c>
      <c r="J46" s="755">
        <v>83.749997864105865</v>
      </c>
      <c r="K46" s="268">
        <v>16.250002135894125</v>
      </c>
      <c r="L46" s="268"/>
      <c r="M46" s="268"/>
      <c r="N46" s="268"/>
      <c r="O46" s="268"/>
      <c r="P46" s="268"/>
      <c r="Q46" s="268"/>
      <c r="R46" s="268"/>
      <c r="S46" s="268"/>
      <c r="T46" s="268"/>
    </row>
    <row r="47" spans="1:21">
      <c r="A47" s="276" t="s">
        <v>7</v>
      </c>
      <c r="B47" s="277"/>
      <c r="C47" s="277"/>
      <c r="D47" s="275"/>
      <c r="E47" s="275"/>
      <c r="F47" s="275"/>
      <c r="G47" s="275"/>
      <c r="H47" s="275"/>
      <c r="I47" s="268"/>
      <c r="J47" s="268"/>
      <c r="K47" s="268"/>
      <c r="L47" s="268"/>
      <c r="M47" s="268"/>
      <c r="N47" s="268"/>
      <c r="O47" s="268"/>
      <c r="P47" s="268"/>
      <c r="Q47" s="268"/>
      <c r="R47" s="268"/>
      <c r="S47" s="268"/>
      <c r="T47" s="268"/>
    </row>
    <row r="48" spans="1:21">
      <c r="A48" s="278" t="s">
        <v>8</v>
      </c>
      <c r="B48" s="278"/>
      <c r="C48" s="278"/>
      <c r="H48" s="275"/>
      <c r="I48" s="268"/>
      <c r="J48" s="712"/>
      <c r="K48" s="268"/>
      <c r="L48" s="268"/>
      <c r="M48" s="268"/>
      <c r="N48" s="268"/>
      <c r="O48" s="268"/>
      <c r="P48" s="268"/>
      <c r="Q48" s="268"/>
      <c r="R48" s="268"/>
      <c r="S48" s="268"/>
      <c r="T48" s="268"/>
    </row>
    <row r="49" spans="1:20">
      <c r="A49" s="278" t="s">
        <v>9</v>
      </c>
      <c r="B49" s="278"/>
      <c r="C49" s="278"/>
      <c r="I49" s="268"/>
      <c r="J49" s="268"/>
      <c r="K49" s="268"/>
      <c r="L49" s="268"/>
      <c r="M49" s="268"/>
      <c r="N49" s="268"/>
      <c r="O49" s="268"/>
      <c r="P49" s="268"/>
      <c r="Q49" s="268"/>
      <c r="R49" s="268"/>
      <c r="S49" s="268"/>
      <c r="T49" s="268"/>
    </row>
    <row r="50" spans="1:20" ht="26.25" customHeight="1">
      <c r="A50" s="278"/>
      <c r="B50" s="278"/>
      <c r="C50" s="278"/>
      <c r="I50" s="268"/>
      <c r="J50" s="268"/>
      <c r="K50" s="268"/>
      <c r="L50" s="268"/>
      <c r="M50" s="268"/>
      <c r="N50" s="268"/>
      <c r="O50" s="268"/>
      <c r="P50" s="268"/>
      <c r="Q50" s="268"/>
      <c r="R50" s="268"/>
      <c r="S50" s="268"/>
      <c r="T50" s="268"/>
    </row>
    <row r="51" spans="1:20" ht="15">
      <c r="D51" s="1133" t="s">
        <v>906</v>
      </c>
      <c r="E51" s="1133"/>
      <c r="F51" s="1133"/>
      <c r="G51" s="440"/>
      <c r="I51" s="268"/>
      <c r="J51" s="268"/>
      <c r="K51" s="268"/>
      <c r="L51" s="268"/>
      <c r="M51" s="268"/>
      <c r="N51" s="268"/>
      <c r="O51" s="1136" t="s">
        <v>12</v>
      </c>
      <c r="P51" s="1136"/>
      <c r="Q51" s="1136"/>
      <c r="R51" s="1136"/>
      <c r="S51" s="268"/>
      <c r="T51" s="268"/>
    </row>
    <row r="52" spans="1:20" ht="15" customHeight="1">
      <c r="D52" s="1148" t="s">
        <v>907</v>
      </c>
      <c r="E52" s="1148"/>
      <c r="F52" s="1148"/>
      <c r="G52" s="442"/>
      <c r="I52" s="268"/>
      <c r="J52" s="268"/>
      <c r="K52" s="268"/>
      <c r="L52" s="268"/>
      <c r="M52" s="268"/>
      <c r="N52" s="268"/>
      <c r="O52" s="1136" t="s">
        <v>13</v>
      </c>
      <c r="P52" s="1136"/>
      <c r="Q52" s="1136"/>
      <c r="R52" s="1136"/>
      <c r="S52" s="268"/>
      <c r="T52" s="268"/>
    </row>
    <row r="53" spans="1:20" ht="16.5" customHeight="1">
      <c r="D53" s="1148" t="s">
        <v>908</v>
      </c>
      <c r="E53" s="1148"/>
      <c r="F53" s="1148"/>
      <c r="G53" s="442"/>
      <c r="I53" s="268"/>
      <c r="J53" s="268"/>
      <c r="K53" s="268"/>
      <c r="L53" s="268"/>
      <c r="M53" s="268"/>
      <c r="N53" s="268"/>
      <c r="O53" s="1136" t="s">
        <v>18</v>
      </c>
      <c r="P53" s="1136"/>
      <c r="Q53" s="1136"/>
      <c r="R53" s="1136"/>
      <c r="S53" s="268"/>
      <c r="T53" s="268"/>
    </row>
    <row r="54" spans="1:20" ht="12.75" customHeight="1">
      <c r="A54" s="440" t="s">
        <v>11</v>
      </c>
      <c r="B54" s="290"/>
      <c r="C54" s="443"/>
      <c r="D54" s="440"/>
      <c r="E54" s="440"/>
      <c r="F54" s="440"/>
      <c r="G54" s="440"/>
      <c r="I54" s="268"/>
      <c r="J54" s="268"/>
      <c r="K54" s="268"/>
      <c r="L54" s="268"/>
      <c r="M54" s="268"/>
      <c r="N54" s="268"/>
      <c r="O54" s="801" t="s">
        <v>84</v>
      </c>
      <c r="P54" s="801"/>
      <c r="Q54" s="801"/>
      <c r="R54" s="801"/>
      <c r="S54" s="268"/>
      <c r="T54" s="268"/>
    </row>
    <row r="55" spans="1:20" ht="12.75" customHeight="1">
      <c r="I55" s="268"/>
      <c r="J55" s="268"/>
      <c r="K55" s="268"/>
      <c r="L55" s="268"/>
      <c r="M55" s="268"/>
      <c r="N55" s="268"/>
      <c r="O55" s="268"/>
      <c r="P55" s="268"/>
      <c r="Q55" s="268"/>
      <c r="R55" s="268"/>
      <c r="S55" s="268"/>
      <c r="T55" s="268"/>
    </row>
    <row r="56" spans="1:20">
      <c r="A56" s="278"/>
      <c r="B56" s="278"/>
      <c r="I56" s="268"/>
      <c r="J56" s="278"/>
      <c r="K56" s="278"/>
      <c r="L56" s="278"/>
      <c r="M56" s="278"/>
      <c r="N56" s="278"/>
      <c r="O56" s="278"/>
      <c r="P56" s="278"/>
      <c r="Q56" s="278"/>
      <c r="R56" s="278"/>
      <c r="S56" s="278"/>
      <c r="T56" s="278"/>
    </row>
    <row r="58" spans="1:20">
      <c r="A58" s="1149"/>
      <c r="B58" s="1149"/>
      <c r="C58" s="1149"/>
      <c r="D58" s="1149"/>
      <c r="E58" s="1149"/>
      <c r="F58" s="1149"/>
      <c r="G58" s="1149"/>
      <c r="H58" s="1149"/>
      <c r="I58" s="1149"/>
      <c r="J58" s="1149"/>
      <c r="K58" s="1149"/>
      <c r="L58" s="1149"/>
      <c r="M58" s="1149"/>
      <c r="N58" s="1149"/>
      <c r="O58" s="1149"/>
      <c r="P58" s="1149"/>
      <c r="Q58" s="1149"/>
      <c r="R58" s="1149"/>
      <c r="S58" s="1149"/>
      <c r="T58" s="1149"/>
    </row>
  </sheetData>
  <mergeCells count="23">
    <mergeCell ref="S8:T8"/>
    <mergeCell ref="D53:F53"/>
    <mergeCell ref="O53:R53"/>
    <mergeCell ref="O54:R54"/>
    <mergeCell ref="A58:T58"/>
    <mergeCell ref="D52:F52"/>
    <mergeCell ref="O52:R52"/>
    <mergeCell ref="G1:I1"/>
    <mergeCell ref="A6:T6"/>
    <mergeCell ref="Q1:T1"/>
    <mergeCell ref="D51:F51"/>
    <mergeCell ref="O51:R51"/>
    <mergeCell ref="A4:T5"/>
    <mergeCell ref="A2:T2"/>
    <mergeCell ref="A3:T3"/>
    <mergeCell ref="L7:T7"/>
    <mergeCell ref="A8:A9"/>
    <mergeCell ref="B8:B9"/>
    <mergeCell ref="C8:G8"/>
    <mergeCell ref="A7:B7"/>
    <mergeCell ref="H8:H9"/>
    <mergeCell ref="I8:L8"/>
    <mergeCell ref="M8:R8"/>
  </mergeCells>
  <phoneticPr fontId="0" type="noConversion"/>
  <printOptions horizontalCentered="1"/>
  <pageMargins left="0.70866141732283472" right="0.70866141732283472" top="0.23622047244094491" bottom="0" header="0.31496062992125984" footer="0.31496062992125984"/>
  <pageSetup paperSize="9" scale="64" orientation="landscape" r:id="rId1"/>
</worksheet>
</file>

<file path=xl/worksheets/sheet59.xml><?xml version="1.0" encoding="utf-8"?>
<worksheet xmlns="http://schemas.openxmlformats.org/spreadsheetml/2006/main" xmlns:r="http://schemas.openxmlformats.org/officeDocument/2006/relationships">
  <sheetPr codeName="Sheet59">
    <tabColor theme="0"/>
    <pageSetUpPr fitToPage="1"/>
  </sheetPr>
  <dimension ref="A1:T55"/>
  <sheetViews>
    <sheetView view="pageBreakPreview" zoomScale="80" zoomScaleNormal="90" zoomScaleSheetLayoutView="80" workbookViewId="0">
      <pane xSplit="2" ySplit="10" topLeftCell="C29" activePane="bottomRight" state="frozen"/>
      <selection pane="topRight" activeCell="C1" sqref="C1"/>
      <selection pane="bottomLeft" activeCell="A11" sqref="A11"/>
      <selection pane="bottomRight" activeCell="C32" sqref="C32:T32"/>
    </sheetView>
  </sheetViews>
  <sheetFormatPr defaultRowHeight="12.75"/>
  <cols>
    <col min="1" max="1" width="5.5703125" style="268" customWidth="1"/>
    <col min="2" max="2" width="17" style="268" customWidth="1"/>
    <col min="3" max="3" width="10.28515625" style="268" customWidth="1"/>
    <col min="4" max="4" width="8.42578125" style="268" customWidth="1"/>
    <col min="5" max="6" width="9.85546875" style="268" customWidth="1"/>
    <col min="7" max="7" width="10.85546875" style="268" customWidth="1"/>
    <col min="8" max="8" width="12.85546875" style="268" customWidth="1"/>
    <col min="9" max="9" width="10" style="255" customWidth="1"/>
    <col min="10" max="10" width="9.28515625" style="255" customWidth="1"/>
    <col min="11" max="11" width="8" style="255" customWidth="1"/>
    <col min="12" max="12" width="8.140625" style="255" customWidth="1"/>
    <col min="13" max="13" width="9.140625" style="255" customWidth="1"/>
    <col min="14" max="14" width="9.42578125" style="255" customWidth="1"/>
    <col min="15" max="15" width="8.42578125" style="255" customWidth="1"/>
    <col min="16" max="18" width="8.140625" style="255" customWidth="1"/>
    <col min="19" max="19" width="10.42578125" style="255" customWidth="1"/>
    <col min="20" max="20" width="12.5703125" style="255" customWidth="1"/>
    <col min="21" max="16384" width="9.140625" style="255"/>
  </cols>
  <sheetData>
    <row r="1" spans="1:20" ht="12.75" customHeight="1">
      <c r="G1" s="1133"/>
      <c r="H1" s="1133"/>
      <c r="I1" s="1133"/>
      <c r="J1" s="268"/>
      <c r="K1" s="268"/>
      <c r="L1" s="268"/>
      <c r="M1" s="268"/>
      <c r="N1" s="268"/>
      <c r="O1" s="268"/>
      <c r="P1" s="268"/>
      <c r="Q1" s="268"/>
      <c r="R1" s="268"/>
      <c r="S1" s="1135" t="s">
        <v>537</v>
      </c>
      <c r="T1" s="1135"/>
    </row>
    <row r="2" spans="1:20" ht="15.75">
      <c r="A2" s="1138" t="s">
        <v>0</v>
      </c>
      <c r="B2" s="1138"/>
      <c r="C2" s="1138"/>
      <c r="D2" s="1138"/>
      <c r="E2" s="1138"/>
      <c r="F2" s="1138"/>
      <c r="G2" s="1138"/>
      <c r="H2" s="1138"/>
      <c r="I2" s="1138"/>
      <c r="J2" s="1138"/>
      <c r="K2" s="1138"/>
      <c r="L2" s="1138"/>
      <c r="M2" s="1138"/>
      <c r="N2" s="1138"/>
      <c r="O2" s="1138"/>
      <c r="P2" s="1138"/>
      <c r="Q2" s="1138"/>
      <c r="R2" s="1138"/>
      <c r="S2" s="1138"/>
      <c r="T2" s="1138"/>
    </row>
    <row r="3" spans="1:20" ht="18">
      <c r="A3" s="1139" t="s">
        <v>745</v>
      </c>
      <c r="B3" s="1139"/>
      <c r="C3" s="1139"/>
      <c r="D3" s="1139"/>
      <c r="E3" s="1139"/>
      <c r="F3" s="1139"/>
      <c r="G3" s="1139"/>
      <c r="H3" s="1139"/>
      <c r="I3" s="1139"/>
      <c r="J3" s="1139"/>
      <c r="K3" s="1139"/>
      <c r="L3" s="1139"/>
      <c r="M3" s="1139"/>
      <c r="N3" s="1139"/>
      <c r="O3" s="1139"/>
      <c r="P3" s="1139"/>
      <c r="Q3" s="1139"/>
      <c r="R3" s="1139"/>
      <c r="S3" s="1139"/>
      <c r="T3" s="1139"/>
    </row>
    <row r="4" spans="1:20" ht="12.75" customHeight="1">
      <c r="A4" s="1137" t="s">
        <v>754</v>
      </c>
      <c r="B4" s="1137"/>
      <c r="C4" s="1137"/>
      <c r="D4" s="1137"/>
      <c r="E4" s="1137"/>
      <c r="F4" s="1137"/>
      <c r="G4" s="1137"/>
      <c r="H4" s="1137"/>
      <c r="I4" s="1137"/>
      <c r="J4" s="1137"/>
      <c r="K4" s="1137"/>
      <c r="L4" s="1137"/>
      <c r="M4" s="1137"/>
      <c r="N4" s="1137"/>
      <c r="O4" s="1137"/>
      <c r="P4" s="1137"/>
      <c r="Q4" s="1137"/>
      <c r="R4" s="1137"/>
      <c r="S4" s="1137"/>
      <c r="T4" s="1137"/>
    </row>
    <row r="5" spans="1:20" s="256" customFormat="1" ht="7.5" customHeight="1">
      <c r="A5" s="1137"/>
      <c r="B5" s="1137"/>
      <c r="C5" s="1137"/>
      <c r="D5" s="1137"/>
      <c r="E5" s="1137"/>
      <c r="F5" s="1137"/>
      <c r="G5" s="1137"/>
      <c r="H5" s="1137"/>
      <c r="I5" s="1137"/>
      <c r="J5" s="1137"/>
      <c r="K5" s="1137"/>
      <c r="L5" s="1137"/>
      <c r="M5" s="1137"/>
      <c r="N5" s="1137"/>
      <c r="O5" s="1137"/>
      <c r="P5" s="1137"/>
      <c r="Q5" s="1137"/>
      <c r="R5" s="1137"/>
      <c r="S5" s="1137"/>
      <c r="T5" s="1137"/>
    </row>
    <row r="6" spans="1:20">
      <c r="A6" s="1134"/>
      <c r="B6" s="1134"/>
      <c r="C6" s="1134"/>
      <c r="D6" s="1134"/>
      <c r="E6" s="1134"/>
      <c r="F6" s="1134"/>
      <c r="G6" s="1134"/>
      <c r="H6" s="1134"/>
      <c r="I6" s="1134"/>
      <c r="J6" s="1134"/>
      <c r="K6" s="1134"/>
      <c r="L6" s="1134"/>
      <c r="M6" s="1134"/>
      <c r="N6" s="1134"/>
      <c r="O6" s="1134"/>
      <c r="P6" s="1134"/>
      <c r="Q6" s="1134"/>
      <c r="R6" s="1134"/>
      <c r="S6" s="1134"/>
      <c r="T6" s="1134"/>
    </row>
    <row r="7" spans="1:20">
      <c r="A7" s="1144" t="s">
        <v>911</v>
      </c>
      <c r="B7" s="1144"/>
      <c r="H7" s="758"/>
      <c r="I7" s="268"/>
      <c r="J7" s="268"/>
      <c r="K7" s="268"/>
      <c r="L7" s="1140"/>
      <c r="M7" s="1140"/>
      <c r="N7" s="1140"/>
      <c r="O7" s="1140"/>
      <c r="P7" s="1140"/>
      <c r="Q7" s="1140"/>
      <c r="R7" s="1140"/>
      <c r="S7" s="1140"/>
      <c r="T7" s="1140"/>
    </row>
    <row r="8" spans="1:20" ht="52.5" customHeight="1">
      <c r="A8" s="1027" t="s">
        <v>2</v>
      </c>
      <c r="B8" s="1027" t="s">
        <v>3</v>
      </c>
      <c r="C8" s="1141" t="s">
        <v>489</v>
      </c>
      <c r="D8" s="1142"/>
      <c r="E8" s="1142"/>
      <c r="F8" s="1142"/>
      <c r="G8" s="1143"/>
      <c r="H8" s="1145" t="s">
        <v>85</v>
      </c>
      <c r="I8" s="1141" t="s">
        <v>86</v>
      </c>
      <c r="J8" s="1142"/>
      <c r="K8" s="1142"/>
      <c r="L8" s="1143"/>
      <c r="M8" s="1027" t="s">
        <v>653</v>
      </c>
      <c r="N8" s="1027"/>
      <c r="O8" s="1027"/>
      <c r="P8" s="1027"/>
      <c r="Q8" s="1027"/>
      <c r="R8" s="1027"/>
      <c r="S8" s="1147" t="s">
        <v>708</v>
      </c>
      <c r="T8" s="1147"/>
    </row>
    <row r="9" spans="1:20" ht="66.75" customHeight="1">
      <c r="A9" s="1027"/>
      <c r="B9" s="1027"/>
      <c r="C9" s="757" t="s">
        <v>5</v>
      </c>
      <c r="D9" s="757" t="s">
        <v>6</v>
      </c>
      <c r="E9" s="757" t="s">
        <v>357</v>
      </c>
      <c r="F9" s="759" t="s">
        <v>102</v>
      </c>
      <c r="G9" s="759" t="s">
        <v>226</v>
      </c>
      <c r="H9" s="1146"/>
      <c r="I9" s="757" t="s">
        <v>91</v>
      </c>
      <c r="J9" s="757" t="s">
        <v>957</v>
      </c>
      <c r="K9" s="757" t="s">
        <v>958</v>
      </c>
      <c r="L9" s="757" t="s">
        <v>687</v>
      </c>
      <c r="M9" s="757" t="s">
        <v>17</v>
      </c>
      <c r="N9" s="757" t="s">
        <v>959</v>
      </c>
      <c r="O9" s="757" t="s">
        <v>654</v>
      </c>
      <c r="P9" s="757" t="s">
        <v>655</v>
      </c>
      <c r="Q9" s="757" t="s">
        <v>656</v>
      </c>
      <c r="R9" s="757" t="s">
        <v>657</v>
      </c>
      <c r="S9" s="757" t="s">
        <v>713</v>
      </c>
      <c r="T9" s="757" t="s">
        <v>711</v>
      </c>
    </row>
    <row r="10" spans="1:20" s="330" customFormat="1">
      <c r="A10" s="328">
        <v>1</v>
      </c>
      <c r="B10" s="328">
        <v>2</v>
      </c>
      <c r="C10" s="328">
        <v>3</v>
      </c>
      <c r="D10" s="328">
        <v>4</v>
      </c>
      <c r="E10" s="328">
        <v>5</v>
      </c>
      <c r="F10" s="328">
        <v>6</v>
      </c>
      <c r="G10" s="328">
        <v>7</v>
      </c>
      <c r="H10" s="328">
        <v>8</v>
      </c>
      <c r="I10" s="328">
        <v>9</v>
      </c>
      <c r="J10" s="328">
        <v>10</v>
      </c>
      <c r="K10" s="328">
        <v>11</v>
      </c>
      <c r="L10" s="328">
        <v>12</v>
      </c>
      <c r="M10" s="328">
        <v>13</v>
      </c>
      <c r="N10" s="328">
        <v>14</v>
      </c>
      <c r="O10" s="328">
        <v>15</v>
      </c>
      <c r="P10" s="328">
        <v>16</v>
      </c>
      <c r="Q10" s="328">
        <v>17</v>
      </c>
      <c r="R10" s="328">
        <v>18</v>
      </c>
      <c r="S10" s="328">
        <v>19</v>
      </c>
      <c r="T10" s="328">
        <v>20</v>
      </c>
    </row>
    <row r="11" spans="1:20">
      <c r="A11" s="272">
        <v>1</v>
      </c>
      <c r="B11" s="18" t="s">
        <v>912</v>
      </c>
      <c r="C11" s="273">
        <v>21567</v>
      </c>
      <c r="D11" s="273">
        <v>13711</v>
      </c>
      <c r="E11" s="273">
        <v>0</v>
      </c>
      <c r="F11" s="273">
        <v>0</v>
      </c>
      <c r="G11" s="273">
        <f>SUM(C11:F11)</f>
        <v>35278</v>
      </c>
      <c r="H11" s="302">
        <v>240</v>
      </c>
      <c r="I11" s="437">
        <v>1270.008</v>
      </c>
      <c r="J11" s="437">
        <v>1063.6320000000001</v>
      </c>
      <c r="K11" s="437">
        <v>206.376</v>
      </c>
      <c r="L11" s="437">
        <v>0</v>
      </c>
      <c r="M11" s="437">
        <f t="shared" ref="M11:M44" si="0">N11+O11+P11+Q11+R11</f>
        <v>254.0016</v>
      </c>
      <c r="N11" s="437">
        <f t="shared" ref="N11:N44" si="1">G11*H11*30/1000000</f>
        <v>254.0016</v>
      </c>
      <c r="O11" s="437">
        <v>0</v>
      </c>
      <c r="P11" s="437">
        <v>0</v>
      </c>
      <c r="Q11" s="437">
        <v>0</v>
      </c>
      <c r="R11" s="437">
        <v>0</v>
      </c>
      <c r="S11" s="273">
        <v>150</v>
      </c>
      <c r="T11" s="437">
        <f t="shared" ref="T11:T44" si="2">ROUND(I11*1500/100000,2)</f>
        <v>19.05</v>
      </c>
    </row>
    <row r="12" spans="1:20">
      <c r="A12" s="272">
        <v>2</v>
      </c>
      <c r="B12" s="18" t="s">
        <v>913</v>
      </c>
      <c r="C12" s="273">
        <v>33487</v>
      </c>
      <c r="D12" s="273">
        <v>19910</v>
      </c>
      <c r="E12" s="273">
        <v>0</v>
      </c>
      <c r="F12" s="273">
        <v>0</v>
      </c>
      <c r="G12" s="273">
        <f t="shared" ref="G12:G44" si="3">SUM(C12:F12)</f>
        <v>53397</v>
      </c>
      <c r="H12" s="302">
        <v>240</v>
      </c>
      <c r="I12" s="437">
        <v>1922.2920000000001</v>
      </c>
      <c r="J12" s="437">
        <v>1609.92</v>
      </c>
      <c r="K12" s="437">
        <v>312.37200000000001</v>
      </c>
      <c r="L12" s="437">
        <v>0</v>
      </c>
      <c r="M12" s="437">
        <f t="shared" si="0"/>
        <v>384.45839999999998</v>
      </c>
      <c r="N12" s="437">
        <f t="shared" si="1"/>
        <v>384.45839999999998</v>
      </c>
      <c r="O12" s="437">
        <v>0</v>
      </c>
      <c r="P12" s="437">
        <v>0</v>
      </c>
      <c r="Q12" s="437">
        <v>0</v>
      </c>
      <c r="R12" s="437">
        <v>0</v>
      </c>
      <c r="S12" s="273">
        <v>150</v>
      </c>
      <c r="T12" s="437">
        <f t="shared" si="2"/>
        <v>28.83</v>
      </c>
    </row>
    <row r="13" spans="1:20">
      <c r="A13" s="272">
        <v>3</v>
      </c>
      <c r="B13" s="18" t="s">
        <v>914</v>
      </c>
      <c r="C13" s="273">
        <v>37702</v>
      </c>
      <c r="D13" s="273">
        <v>13663</v>
      </c>
      <c r="E13" s="273">
        <v>0</v>
      </c>
      <c r="F13" s="273">
        <v>0</v>
      </c>
      <c r="G13" s="273">
        <f t="shared" si="3"/>
        <v>51365</v>
      </c>
      <c r="H13" s="302">
        <v>240</v>
      </c>
      <c r="I13" s="437">
        <v>1849.1399999999999</v>
      </c>
      <c r="J13" s="437">
        <v>1548.655</v>
      </c>
      <c r="K13" s="437">
        <v>300.48500000000001</v>
      </c>
      <c r="L13" s="437">
        <v>0</v>
      </c>
      <c r="M13" s="437">
        <f t="shared" si="0"/>
        <v>369.82799999999997</v>
      </c>
      <c r="N13" s="437">
        <f t="shared" si="1"/>
        <v>369.82799999999997</v>
      </c>
      <c r="O13" s="437">
        <v>0</v>
      </c>
      <c r="P13" s="437">
        <v>0</v>
      </c>
      <c r="Q13" s="437">
        <v>0</v>
      </c>
      <c r="R13" s="437">
        <v>0</v>
      </c>
      <c r="S13" s="273">
        <v>150</v>
      </c>
      <c r="T13" s="437">
        <f t="shared" si="2"/>
        <v>27.74</v>
      </c>
    </row>
    <row r="14" spans="1:20">
      <c r="A14" s="272">
        <v>4</v>
      </c>
      <c r="B14" s="18" t="s">
        <v>915</v>
      </c>
      <c r="C14" s="273">
        <v>29190</v>
      </c>
      <c r="D14" s="273">
        <v>12099</v>
      </c>
      <c r="E14" s="273">
        <v>0</v>
      </c>
      <c r="F14" s="273">
        <v>0</v>
      </c>
      <c r="G14" s="273">
        <f t="shared" si="3"/>
        <v>41289</v>
      </c>
      <c r="H14" s="302">
        <v>240</v>
      </c>
      <c r="I14" s="437">
        <v>1486.404</v>
      </c>
      <c r="J14" s="437">
        <v>1244.8630000000001</v>
      </c>
      <c r="K14" s="437">
        <v>241.541</v>
      </c>
      <c r="L14" s="437">
        <v>0</v>
      </c>
      <c r="M14" s="437">
        <f t="shared" si="0"/>
        <v>297.2808</v>
      </c>
      <c r="N14" s="437">
        <f t="shared" si="1"/>
        <v>297.2808</v>
      </c>
      <c r="O14" s="437">
        <v>0</v>
      </c>
      <c r="P14" s="437">
        <v>0</v>
      </c>
      <c r="Q14" s="437">
        <v>0</v>
      </c>
      <c r="R14" s="437">
        <v>0</v>
      </c>
      <c r="S14" s="273">
        <v>150</v>
      </c>
      <c r="T14" s="437">
        <f t="shared" si="2"/>
        <v>22.3</v>
      </c>
    </row>
    <row r="15" spans="1:20">
      <c r="A15" s="272">
        <v>5</v>
      </c>
      <c r="B15" s="18" t="s">
        <v>916</v>
      </c>
      <c r="C15" s="273">
        <v>30860</v>
      </c>
      <c r="D15" s="273">
        <v>9661</v>
      </c>
      <c r="E15" s="273">
        <v>0</v>
      </c>
      <c r="F15" s="273">
        <v>505</v>
      </c>
      <c r="G15" s="273">
        <f t="shared" si="3"/>
        <v>41026</v>
      </c>
      <c r="H15" s="302">
        <v>240</v>
      </c>
      <c r="I15" s="437">
        <v>1476.9359999999999</v>
      </c>
      <c r="J15" s="437">
        <v>1236.934</v>
      </c>
      <c r="K15" s="437">
        <v>240.00200000000001</v>
      </c>
      <c r="L15" s="437">
        <v>0</v>
      </c>
      <c r="M15" s="437">
        <f t="shared" si="0"/>
        <v>295.38720000000001</v>
      </c>
      <c r="N15" s="437">
        <f t="shared" si="1"/>
        <v>295.38720000000001</v>
      </c>
      <c r="O15" s="437">
        <v>0</v>
      </c>
      <c r="P15" s="437">
        <v>0</v>
      </c>
      <c r="Q15" s="437">
        <v>0</v>
      </c>
      <c r="R15" s="437">
        <v>0</v>
      </c>
      <c r="S15" s="273">
        <v>150</v>
      </c>
      <c r="T15" s="437">
        <f t="shared" si="2"/>
        <v>22.15</v>
      </c>
    </row>
    <row r="16" spans="1:20">
      <c r="A16" s="272">
        <v>6</v>
      </c>
      <c r="B16" s="18" t="s">
        <v>917</v>
      </c>
      <c r="C16" s="273">
        <v>18682</v>
      </c>
      <c r="D16" s="273">
        <v>3040</v>
      </c>
      <c r="E16" s="273">
        <v>0</v>
      </c>
      <c r="F16" s="273">
        <v>0</v>
      </c>
      <c r="G16" s="273">
        <f t="shared" si="3"/>
        <v>21722</v>
      </c>
      <c r="H16" s="302">
        <v>240</v>
      </c>
      <c r="I16" s="437">
        <v>781.99199999999996</v>
      </c>
      <c r="J16" s="437">
        <v>654.91800000000001</v>
      </c>
      <c r="K16" s="437">
        <v>127.074</v>
      </c>
      <c r="L16" s="437">
        <v>0</v>
      </c>
      <c r="M16" s="437">
        <f t="shared" si="0"/>
        <v>156.39840000000001</v>
      </c>
      <c r="N16" s="437">
        <f t="shared" si="1"/>
        <v>156.39840000000001</v>
      </c>
      <c r="O16" s="437">
        <v>0</v>
      </c>
      <c r="P16" s="437">
        <v>0</v>
      </c>
      <c r="Q16" s="437">
        <v>0</v>
      </c>
      <c r="R16" s="437">
        <v>0</v>
      </c>
      <c r="S16" s="273">
        <v>150</v>
      </c>
      <c r="T16" s="437">
        <f t="shared" si="2"/>
        <v>11.73</v>
      </c>
    </row>
    <row r="17" spans="1:20">
      <c r="A17" s="272">
        <v>7</v>
      </c>
      <c r="B17" s="18" t="s">
        <v>918</v>
      </c>
      <c r="C17" s="273">
        <v>18772</v>
      </c>
      <c r="D17" s="273">
        <v>740</v>
      </c>
      <c r="E17" s="273">
        <v>0</v>
      </c>
      <c r="F17" s="273">
        <v>0</v>
      </c>
      <c r="G17" s="273">
        <f t="shared" si="3"/>
        <v>19512</v>
      </c>
      <c r="H17" s="302">
        <v>240</v>
      </c>
      <c r="I17" s="437">
        <v>702.43200000000002</v>
      </c>
      <c r="J17" s="437">
        <v>588.28700000000003</v>
      </c>
      <c r="K17" s="437">
        <v>114.145</v>
      </c>
      <c r="L17" s="437">
        <v>0</v>
      </c>
      <c r="M17" s="437">
        <f t="shared" si="0"/>
        <v>140.4864</v>
      </c>
      <c r="N17" s="437">
        <f t="shared" si="1"/>
        <v>140.4864</v>
      </c>
      <c r="O17" s="437">
        <v>0</v>
      </c>
      <c r="P17" s="437">
        <v>0</v>
      </c>
      <c r="Q17" s="437">
        <v>0</v>
      </c>
      <c r="R17" s="437">
        <v>0</v>
      </c>
      <c r="S17" s="273">
        <v>150</v>
      </c>
      <c r="T17" s="437">
        <f t="shared" si="2"/>
        <v>10.54</v>
      </c>
    </row>
    <row r="18" spans="1:20">
      <c r="A18" s="272">
        <v>8</v>
      </c>
      <c r="B18" s="18" t="s">
        <v>919</v>
      </c>
      <c r="C18" s="273">
        <v>27258</v>
      </c>
      <c r="D18" s="273">
        <v>6940</v>
      </c>
      <c r="E18" s="273">
        <v>0</v>
      </c>
      <c r="F18" s="273">
        <v>94</v>
      </c>
      <c r="G18" s="273">
        <f t="shared" si="3"/>
        <v>34292</v>
      </c>
      <c r="H18" s="302">
        <v>240</v>
      </c>
      <c r="I18" s="437">
        <v>1234.5119999999999</v>
      </c>
      <c r="J18" s="437">
        <v>1033.904</v>
      </c>
      <c r="K18" s="437">
        <v>200.608</v>
      </c>
      <c r="L18" s="437">
        <v>0</v>
      </c>
      <c r="M18" s="437">
        <f t="shared" si="0"/>
        <v>246.9024</v>
      </c>
      <c r="N18" s="437">
        <f t="shared" si="1"/>
        <v>246.9024</v>
      </c>
      <c r="O18" s="437">
        <v>0</v>
      </c>
      <c r="P18" s="437">
        <v>0</v>
      </c>
      <c r="Q18" s="437">
        <v>0</v>
      </c>
      <c r="R18" s="437">
        <v>0</v>
      </c>
      <c r="S18" s="273">
        <v>150</v>
      </c>
      <c r="T18" s="437">
        <f t="shared" si="2"/>
        <v>18.52</v>
      </c>
    </row>
    <row r="19" spans="1:20">
      <c r="A19" s="272">
        <v>9</v>
      </c>
      <c r="B19" s="18" t="s">
        <v>920</v>
      </c>
      <c r="C19" s="273">
        <v>23094</v>
      </c>
      <c r="D19" s="273">
        <v>5306</v>
      </c>
      <c r="E19" s="273">
        <v>0</v>
      </c>
      <c r="F19" s="273">
        <v>0</v>
      </c>
      <c r="G19" s="273">
        <f t="shared" si="3"/>
        <v>28400</v>
      </c>
      <c r="H19" s="302">
        <v>240</v>
      </c>
      <c r="I19" s="437">
        <v>1022.4</v>
      </c>
      <c r="J19" s="437">
        <v>856.26</v>
      </c>
      <c r="K19" s="437">
        <v>166.14</v>
      </c>
      <c r="L19" s="437">
        <v>0</v>
      </c>
      <c r="M19" s="437">
        <f t="shared" si="0"/>
        <v>204.48</v>
      </c>
      <c r="N19" s="437">
        <f t="shared" si="1"/>
        <v>204.48</v>
      </c>
      <c r="O19" s="437">
        <v>0</v>
      </c>
      <c r="P19" s="437">
        <v>0</v>
      </c>
      <c r="Q19" s="437">
        <v>0</v>
      </c>
      <c r="R19" s="437">
        <v>0</v>
      </c>
      <c r="S19" s="273">
        <v>150</v>
      </c>
      <c r="T19" s="437">
        <f t="shared" si="2"/>
        <v>15.34</v>
      </c>
    </row>
    <row r="20" spans="1:20">
      <c r="A20" s="272">
        <v>10</v>
      </c>
      <c r="B20" s="18" t="s">
        <v>921</v>
      </c>
      <c r="C20" s="273">
        <v>27208</v>
      </c>
      <c r="D20" s="273">
        <v>14375</v>
      </c>
      <c r="E20" s="273">
        <v>0</v>
      </c>
      <c r="F20" s="273">
        <v>0</v>
      </c>
      <c r="G20" s="273">
        <f t="shared" si="3"/>
        <v>41583</v>
      </c>
      <c r="H20" s="302">
        <v>240</v>
      </c>
      <c r="I20" s="437">
        <v>1496.9880000000001</v>
      </c>
      <c r="J20" s="437">
        <v>1253.7270000000001</v>
      </c>
      <c r="K20" s="437">
        <v>243.261</v>
      </c>
      <c r="L20" s="437">
        <v>0</v>
      </c>
      <c r="M20" s="437">
        <f t="shared" si="0"/>
        <v>299.39760000000001</v>
      </c>
      <c r="N20" s="437">
        <f t="shared" si="1"/>
        <v>299.39760000000001</v>
      </c>
      <c r="O20" s="437">
        <v>0</v>
      </c>
      <c r="P20" s="437">
        <v>0</v>
      </c>
      <c r="Q20" s="437">
        <v>0</v>
      </c>
      <c r="R20" s="437">
        <v>0</v>
      </c>
      <c r="S20" s="273">
        <v>150</v>
      </c>
      <c r="T20" s="437">
        <f t="shared" si="2"/>
        <v>22.45</v>
      </c>
    </row>
    <row r="21" spans="1:20">
      <c r="A21" s="272">
        <v>11</v>
      </c>
      <c r="B21" s="18" t="s">
        <v>922</v>
      </c>
      <c r="C21" s="273">
        <v>20753</v>
      </c>
      <c r="D21" s="273">
        <v>4751</v>
      </c>
      <c r="E21" s="273">
        <v>0</v>
      </c>
      <c r="F21" s="273">
        <v>0</v>
      </c>
      <c r="G21" s="273">
        <f t="shared" si="3"/>
        <v>25504</v>
      </c>
      <c r="H21" s="302">
        <v>240</v>
      </c>
      <c r="I21" s="437">
        <v>918.14400000000001</v>
      </c>
      <c r="J21" s="437">
        <v>768.94600000000003</v>
      </c>
      <c r="K21" s="437">
        <v>149.19800000000001</v>
      </c>
      <c r="L21" s="437">
        <v>0</v>
      </c>
      <c r="M21" s="437">
        <f t="shared" si="0"/>
        <v>183.62880000000001</v>
      </c>
      <c r="N21" s="437">
        <f t="shared" si="1"/>
        <v>183.62880000000001</v>
      </c>
      <c r="O21" s="437">
        <v>0</v>
      </c>
      <c r="P21" s="437">
        <v>0</v>
      </c>
      <c r="Q21" s="437">
        <v>0</v>
      </c>
      <c r="R21" s="437">
        <v>0</v>
      </c>
      <c r="S21" s="273">
        <v>150</v>
      </c>
      <c r="T21" s="437">
        <f t="shared" si="2"/>
        <v>13.77</v>
      </c>
    </row>
    <row r="22" spans="1:20">
      <c r="A22" s="272">
        <v>12</v>
      </c>
      <c r="B22" s="18" t="s">
        <v>923</v>
      </c>
      <c r="C22" s="273">
        <v>51986</v>
      </c>
      <c r="D22" s="273">
        <v>13389</v>
      </c>
      <c r="E22" s="273">
        <v>0</v>
      </c>
      <c r="F22" s="273">
        <v>58</v>
      </c>
      <c r="G22" s="273">
        <f t="shared" si="3"/>
        <v>65433</v>
      </c>
      <c r="H22" s="302">
        <v>240</v>
      </c>
      <c r="I22" s="437">
        <v>2355.5880000000002</v>
      </c>
      <c r="J22" s="437">
        <v>1972.8050000000001</v>
      </c>
      <c r="K22" s="437">
        <v>382.78300000000002</v>
      </c>
      <c r="L22" s="437">
        <v>0</v>
      </c>
      <c r="M22" s="437">
        <f t="shared" si="0"/>
        <v>471.11759999999998</v>
      </c>
      <c r="N22" s="437">
        <f t="shared" si="1"/>
        <v>471.11759999999998</v>
      </c>
      <c r="O22" s="437">
        <v>0</v>
      </c>
      <c r="P22" s="437">
        <v>0</v>
      </c>
      <c r="Q22" s="437">
        <v>0</v>
      </c>
      <c r="R22" s="437">
        <v>0</v>
      </c>
      <c r="S22" s="273">
        <v>150</v>
      </c>
      <c r="T22" s="437">
        <f t="shared" si="2"/>
        <v>35.33</v>
      </c>
    </row>
    <row r="23" spans="1:20">
      <c r="A23" s="272">
        <v>13</v>
      </c>
      <c r="B23" s="18" t="s">
        <v>924</v>
      </c>
      <c r="C23" s="273">
        <v>25862</v>
      </c>
      <c r="D23" s="273">
        <v>7086</v>
      </c>
      <c r="E23" s="273">
        <v>0</v>
      </c>
      <c r="F23" s="273">
        <v>0</v>
      </c>
      <c r="G23" s="273">
        <f t="shared" si="3"/>
        <v>32948</v>
      </c>
      <c r="H23" s="302">
        <v>240</v>
      </c>
      <c r="I23" s="437">
        <v>1186.1279999999999</v>
      </c>
      <c r="J23" s="437">
        <v>993.38199999999995</v>
      </c>
      <c r="K23" s="437">
        <v>192.74600000000001</v>
      </c>
      <c r="L23" s="437">
        <v>0</v>
      </c>
      <c r="M23" s="437">
        <f t="shared" si="0"/>
        <v>237.22559999999999</v>
      </c>
      <c r="N23" s="437">
        <f t="shared" si="1"/>
        <v>237.22559999999999</v>
      </c>
      <c r="O23" s="437">
        <v>0</v>
      </c>
      <c r="P23" s="437">
        <v>0</v>
      </c>
      <c r="Q23" s="437">
        <v>0</v>
      </c>
      <c r="R23" s="437">
        <v>0</v>
      </c>
      <c r="S23" s="273">
        <v>150</v>
      </c>
      <c r="T23" s="437">
        <f t="shared" si="2"/>
        <v>17.79</v>
      </c>
    </row>
    <row r="24" spans="1:20">
      <c r="A24" s="272">
        <v>14</v>
      </c>
      <c r="B24" s="18" t="s">
        <v>925</v>
      </c>
      <c r="C24" s="273">
        <v>18937</v>
      </c>
      <c r="D24" s="273">
        <v>4597</v>
      </c>
      <c r="E24" s="273">
        <v>0</v>
      </c>
      <c r="F24" s="273">
        <v>34</v>
      </c>
      <c r="G24" s="273">
        <f t="shared" si="3"/>
        <v>23568</v>
      </c>
      <c r="H24" s="302">
        <v>240</v>
      </c>
      <c r="I24" s="437">
        <v>848.44800000000009</v>
      </c>
      <c r="J24" s="437">
        <v>710.57500000000005</v>
      </c>
      <c r="K24" s="437">
        <v>137.87299999999999</v>
      </c>
      <c r="L24" s="437">
        <v>0</v>
      </c>
      <c r="M24" s="437">
        <f t="shared" si="0"/>
        <v>169.68960000000001</v>
      </c>
      <c r="N24" s="437">
        <f t="shared" si="1"/>
        <v>169.68960000000001</v>
      </c>
      <c r="O24" s="437">
        <v>0</v>
      </c>
      <c r="P24" s="437">
        <v>0</v>
      </c>
      <c r="Q24" s="437">
        <v>0</v>
      </c>
      <c r="R24" s="437">
        <v>0</v>
      </c>
      <c r="S24" s="273">
        <v>150</v>
      </c>
      <c r="T24" s="437">
        <f t="shared" si="2"/>
        <v>12.73</v>
      </c>
    </row>
    <row r="25" spans="1:20">
      <c r="A25" s="272">
        <v>15</v>
      </c>
      <c r="B25" s="18" t="s">
        <v>926</v>
      </c>
      <c r="C25" s="273">
        <v>5968</v>
      </c>
      <c r="D25" s="273">
        <v>3128</v>
      </c>
      <c r="E25" s="273">
        <v>0</v>
      </c>
      <c r="F25" s="273">
        <v>0</v>
      </c>
      <c r="G25" s="273">
        <f t="shared" si="3"/>
        <v>9096</v>
      </c>
      <c r="H25" s="302">
        <v>240</v>
      </c>
      <c r="I25" s="437">
        <v>327.45600000000002</v>
      </c>
      <c r="J25" s="437">
        <v>274.24400000000003</v>
      </c>
      <c r="K25" s="437">
        <v>53.212000000000003</v>
      </c>
      <c r="L25" s="437">
        <v>0</v>
      </c>
      <c r="M25" s="437">
        <f t="shared" si="0"/>
        <v>65.491200000000006</v>
      </c>
      <c r="N25" s="437">
        <f t="shared" si="1"/>
        <v>65.491200000000006</v>
      </c>
      <c r="O25" s="437">
        <v>0</v>
      </c>
      <c r="P25" s="437">
        <v>0</v>
      </c>
      <c r="Q25" s="437">
        <v>0</v>
      </c>
      <c r="R25" s="437">
        <v>0</v>
      </c>
      <c r="S25" s="273">
        <v>150</v>
      </c>
      <c r="T25" s="437">
        <f t="shared" si="2"/>
        <v>4.91</v>
      </c>
    </row>
    <row r="26" spans="1:20">
      <c r="A26" s="272">
        <v>16</v>
      </c>
      <c r="B26" s="18" t="s">
        <v>927</v>
      </c>
      <c r="C26" s="273">
        <v>28931</v>
      </c>
      <c r="D26" s="273">
        <v>8082</v>
      </c>
      <c r="E26" s="273">
        <v>0</v>
      </c>
      <c r="F26" s="273">
        <v>16</v>
      </c>
      <c r="G26" s="273">
        <f t="shared" si="3"/>
        <v>37029</v>
      </c>
      <c r="H26" s="302">
        <v>240</v>
      </c>
      <c r="I26" s="437">
        <v>1333.0439999999999</v>
      </c>
      <c r="J26" s="437">
        <v>1116.424</v>
      </c>
      <c r="K26" s="437">
        <v>216.62</v>
      </c>
      <c r="L26" s="437">
        <v>0</v>
      </c>
      <c r="M26" s="437">
        <f t="shared" si="0"/>
        <v>266.60879999999997</v>
      </c>
      <c r="N26" s="437">
        <f t="shared" si="1"/>
        <v>266.60879999999997</v>
      </c>
      <c r="O26" s="437">
        <v>0</v>
      </c>
      <c r="P26" s="437">
        <v>0</v>
      </c>
      <c r="Q26" s="437">
        <v>0</v>
      </c>
      <c r="R26" s="437">
        <v>0</v>
      </c>
      <c r="S26" s="273">
        <v>150</v>
      </c>
      <c r="T26" s="437">
        <f t="shared" si="2"/>
        <v>20</v>
      </c>
    </row>
    <row r="27" spans="1:20">
      <c r="A27" s="272">
        <v>17</v>
      </c>
      <c r="B27" s="18" t="s">
        <v>928</v>
      </c>
      <c r="C27" s="273">
        <v>16865</v>
      </c>
      <c r="D27" s="273">
        <v>4483</v>
      </c>
      <c r="E27" s="273">
        <v>0</v>
      </c>
      <c r="F27" s="273">
        <v>0</v>
      </c>
      <c r="G27" s="273">
        <f t="shared" si="3"/>
        <v>21348</v>
      </c>
      <c r="H27" s="302">
        <v>240</v>
      </c>
      <c r="I27" s="437">
        <v>768.52800000000002</v>
      </c>
      <c r="J27" s="437">
        <v>643.64200000000005</v>
      </c>
      <c r="K27" s="437">
        <v>124.886</v>
      </c>
      <c r="L27" s="437">
        <v>0</v>
      </c>
      <c r="M27" s="437">
        <f t="shared" si="0"/>
        <v>153.7056</v>
      </c>
      <c r="N27" s="437">
        <f t="shared" si="1"/>
        <v>153.7056</v>
      </c>
      <c r="O27" s="437">
        <v>0</v>
      </c>
      <c r="P27" s="437">
        <v>0</v>
      </c>
      <c r="Q27" s="437">
        <v>0</v>
      </c>
      <c r="R27" s="437">
        <v>0</v>
      </c>
      <c r="S27" s="273">
        <v>150</v>
      </c>
      <c r="T27" s="437">
        <f t="shared" si="2"/>
        <v>11.53</v>
      </c>
    </row>
    <row r="28" spans="1:20">
      <c r="A28" s="272">
        <v>18</v>
      </c>
      <c r="B28" s="18" t="s">
        <v>929</v>
      </c>
      <c r="C28" s="273">
        <v>26212</v>
      </c>
      <c r="D28" s="273">
        <v>15117</v>
      </c>
      <c r="E28" s="273">
        <v>0</v>
      </c>
      <c r="F28" s="273">
        <v>0</v>
      </c>
      <c r="G28" s="273">
        <f t="shared" si="3"/>
        <v>41329</v>
      </c>
      <c r="H28" s="302">
        <v>240</v>
      </c>
      <c r="I28" s="437">
        <v>1487.8440000000001</v>
      </c>
      <c r="J28" s="437">
        <v>1246.069</v>
      </c>
      <c r="K28" s="437">
        <v>241.77500000000001</v>
      </c>
      <c r="L28" s="437">
        <v>0</v>
      </c>
      <c r="M28" s="437">
        <f t="shared" si="0"/>
        <v>297.56880000000001</v>
      </c>
      <c r="N28" s="437">
        <f t="shared" si="1"/>
        <v>297.56880000000001</v>
      </c>
      <c r="O28" s="437">
        <v>0</v>
      </c>
      <c r="P28" s="437">
        <v>0</v>
      </c>
      <c r="Q28" s="437">
        <v>0</v>
      </c>
      <c r="R28" s="437">
        <v>0</v>
      </c>
      <c r="S28" s="273">
        <v>150</v>
      </c>
      <c r="T28" s="437">
        <f t="shared" si="2"/>
        <v>22.32</v>
      </c>
    </row>
    <row r="29" spans="1:20">
      <c r="A29" s="272">
        <v>19</v>
      </c>
      <c r="B29" s="18" t="s">
        <v>930</v>
      </c>
      <c r="C29" s="273">
        <v>14680</v>
      </c>
      <c r="D29" s="273">
        <v>7299</v>
      </c>
      <c r="E29" s="273">
        <v>0</v>
      </c>
      <c r="F29" s="273">
        <v>0</v>
      </c>
      <c r="G29" s="273">
        <f t="shared" si="3"/>
        <v>21979</v>
      </c>
      <c r="H29" s="302">
        <v>240</v>
      </c>
      <c r="I29" s="437">
        <v>791.24400000000003</v>
      </c>
      <c r="J29" s="437">
        <v>662.66700000000003</v>
      </c>
      <c r="K29" s="437">
        <v>128.577</v>
      </c>
      <c r="L29" s="437">
        <v>0</v>
      </c>
      <c r="M29" s="437">
        <f t="shared" si="0"/>
        <v>158.24879999999999</v>
      </c>
      <c r="N29" s="437">
        <f t="shared" si="1"/>
        <v>158.24879999999999</v>
      </c>
      <c r="O29" s="437">
        <v>0</v>
      </c>
      <c r="P29" s="437">
        <v>0</v>
      </c>
      <c r="Q29" s="437">
        <v>0</v>
      </c>
      <c r="R29" s="437">
        <v>0</v>
      </c>
      <c r="S29" s="273">
        <v>150</v>
      </c>
      <c r="T29" s="437">
        <f t="shared" si="2"/>
        <v>11.87</v>
      </c>
    </row>
    <row r="30" spans="1:20">
      <c r="A30" s="272">
        <v>20</v>
      </c>
      <c r="B30" s="18" t="s">
        <v>931</v>
      </c>
      <c r="C30" s="273">
        <v>36085</v>
      </c>
      <c r="D30" s="273">
        <v>13507</v>
      </c>
      <c r="E30" s="273">
        <v>0</v>
      </c>
      <c r="F30" s="273">
        <v>0</v>
      </c>
      <c r="G30" s="273">
        <f t="shared" si="3"/>
        <v>49592</v>
      </c>
      <c r="H30" s="302">
        <v>240</v>
      </c>
      <c r="I30" s="437">
        <v>1785.3120000000001</v>
      </c>
      <c r="J30" s="437">
        <v>1495.1990000000001</v>
      </c>
      <c r="K30" s="437">
        <v>290.113</v>
      </c>
      <c r="L30" s="437">
        <v>0</v>
      </c>
      <c r="M30" s="437">
        <f t="shared" si="0"/>
        <v>357.06240000000003</v>
      </c>
      <c r="N30" s="437">
        <f t="shared" si="1"/>
        <v>357.06240000000003</v>
      </c>
      <c r="O30" s="437">
        <v>0</v>
      </c>
      <c r="P30" s="437">
        <v>0</v>
      </c>
      <c r="Q30" s="437">
        <v>0</v>
      </c>
      <c r="R30" s="437">
        <v>0</v>
      </c>
      <c r="S30" s="273">
        <v>150</v>
      </c>
      <c r="T30" s="437">
        <f t="shared" si="2"/>
        <v>26.78</v>
      </c>
    </row>
    <row r="31" spans="1:20">
      <c r="A31" s="272">
        <v>21</v>
      </c>
      <c r="B31" s="18" t="s">
        <v>932</v>
      </c>
      <c r="C31" s="273">
        <v>11267</v>
      </c>
      <c r="D31" s="273">
        <v>4946</v>
      </c>
      <c r="E31" s="273">
        <v>0</v>
      </c>
      <c r="F31" s="273">
        <v>0</v>
      </c>
      <c r="G31" s="273">
        <f t="shared" si="3"/>
        <v>16213</v>
      </c>
      <c r="H31" s="302">
        <v>240</v>
      </c>
      <c r="I31" s="437">
        <v>583.66800000000001</v>
      </c>
      <c r="J31" s="437">
        <v>488.822</v>
      </c>
      <c r="K31" s="437">
        <v>94.846000000000004</v>
      </c>
      <c r="L31" s="437">
        <v>0</v>
      </c>
      <c r="M31" s="437">
        <f t="shared" si="0"/>
        <v>116.7336</v>
      </c>
      <c r="N31" s="437">
        <f t="shared" si="1"/>
        <v>116.7336</v>
      </c>
      <c r="O31" s="437">
        <v>0</v>
      </c>
      <c r="P31" s="437">
        <v>0</v>
      </c>
      <c r="Q31" s="437">
        <v>0</v>
      </c>
      <c r="R31" s="437">
        <v>0</v>
      </c>
      <c r="S31" s="273">
        <v>150</v>
      </c>
      <c r="T31" s="437">
        <f t="shared" si="2"/>
        <v>8.76</v>
      </c>
    </row>
    <row r="32" spans="1:20">
      <c r="A32" s="272">
        <v>22</v>
      </c>
      <c r="B32" s="18" t="s">
        <v>933</v>
      </c>
      <c r="C32" s="273">
        <v>20469</v>
      </c>
      <c r="D32" s="273">
        <v>4763</v>
      </c>
      <c r="E32" s="273">
        <v>0</v>
      </c>
      <c r="F32" s="273">
        <v>0</v>
      </c>
      <c r="G32" s="273">
        <f t="shared" si="3"/>
        <v>25232</v>
      </c>
      <c r="H32" s="302">
        <v>240</v>
      </c>
      <c r="I32" s="437">
        <v>908.35199999999998</v>
      </c>
      <c r="J32" s="437">
        <v>760.745</v>
      </c>
      <c r="K32" s="437">
        <v>147.607</v>
      </c>
      <c r="L32" s="437">
        <v>0</v>
      </c>
      <c r="M32" s="437">
        <f t="shared" si="0"/>
        <v>181.6704</v>
      </c>
      <c r="N32" s="437">
        <f t="shared" si="1"/>
        <v>181.6704</v>
      </c>
      <c r="O32" s="437">
        <v>0</v>
      </c>
      <c r="P32" s="437">
        <v>0</v>
      </c>
      <c r="Q32" s="437">
        <v>0</v>
      </c>
      <c r="R32" s="437">
        <v>0</v>
      </c>
      <c r="S32" s="273">
        <v>150</v>
      </c>
      <c r="T32" s="437">
        <f t="shared" si="2"/>
        <v>13.63</v>
      </c>
    </row>
    <row r="33" spans="1:20">
      <c r="A33" s="272">
        <v>23</v>
      </c>
      <c r="B33" s="18" t="s">
        <v>934</v>
      </c>
      <c r="C33" s="273">
        <v>43042</v>
      </c>
      <c r="D33" s="273">
        <v>12371</v>
      </c>
      <c r="E33" s="273">
        <v>0</v>
      </c>
      <c r="F33" s="273">
        <v>0</v>
      </c>
      <c r="G33" s="273">
        <f t="shared" si="3"/>
        <v>55413</v>
      </c>
      <c r="H33" s="302">
        <v>240</v>
      </c>
      <c r="I33" s="437">
        <v>1994.8679999999999</v>
      </c>
      <c r="J33" s="437">
        <v>1670.702</v>
      </c>
      <c r="K33" s="437">
        <v>324.166</v>
      </c>
      <c r="L33" s="437">
        <v>0</v>
      </c>
      <c r="M33" s="437">
        <f t="shared" si="0"/>
        <v>398.97359999999998</v>
      </c>
      <c r="N33" s="437">
        <f t="shared" si="1"/>
        <v>398.97359999999998</v>
      </c>
      <c r="O33" s="437">
        <v>0</v>
      </c>
      <c r="P33" s="437">
        <v>0</v>
      </c>
      <c r="Q33" s="437">
        <v>0</v>
      </c>
      <c r="R33" s="437">
        <v>0</v>
      </c>
      <c r="S33" s="273">
        <v>150</v>
      </c>
      <c r="T33" s="437">
        <f t="shared" si="2"/>
        <v>29.92</v>
      </c>
    </row>
    <row r="34" spans="1:20">
      <c r="A34" s="272">
        <v>24</v>
      </c>
      <c r="B34" s="18" t="s">
        <v>935</v>
      </c>
      <c r="C34" s="273">
        <v>26895</v>
      </c>
      <c r="D34" s="273">
        <v>8754</v>
      </c>
      <c r="E34" s="273">
        <v>0</v>
      </c>
      <c r="F34" s="273">
        <v>0</v>
      </c>
      <c r="G34" s="273">
        <f t="shared" si="3"/>
        <v>35649</v>
      </c>
      <c r="H34" s="302">
        <v>240</v>
      </c>
      <c r="I34" s="437">
        <v>1283.364</v>
      </c>
      <c r="J34" s="437">
        <v>1074.817</v>
      </c>
      <c r="K34" s="437">
        <v>208.547</v>
      </c>
      <c r="L34" s="437">
        <v>0</v>
      </c>
      <c r="M34" s="437">
        <f t="shared" si="0"/>
        <v>256.6728</v>
      </c>
      <c r="N34" s="437">
        <f t="shared" si="1"/>
        <v>256.6728</v>
      </c>
      <c r="O34" s="437">
        <v>0</v>
      </c>
      <c r="P34" s="437">
        <v>0</v>
      </c>
      <c r="Q34" s="437">
        <v>0</v>
      </c>
      <c r="R34" s="437">
        <v>0</v>
      </c>
      <c r="S34" s="273">
        <v>150</v>
      </c>
      <c r="T34" s="437">
        <f t="shared" si="2"/>
        <v>19.25</v>
      </c>
    </row>
    <row r="35" spans="1:20" ht="12.75" customHeight="1">
      <c r="A35" s="272">
        <v>25</v>
      </c>
      <c r="B35" s="273" t="s">
        <v>936</v>
      </c>
      <c r="C35" s="273">
        <v>51439</v>
      </c>
      <c r="D35" s="273">
        <v>19940</v>
      </c>
      <c r="E35" s="273">
        <v>0</v>
      </c>
      <c r="F35" s="273">
        <v>0</v>
      </c>
      <c r="G35" s="273">
        <f t="shared" si="3"/>
        <v>71379</v>
      </c>
      <c r="H35" s="302">
        <v>240</v>
      </c>
      <c r="I35" s="437">
        <v>2569.6440000000002</v>
      </c>
      <c r="J35" s="437">
        <v>2152.0770000000002</v>
      </c>
      <c r="K35" s="437">
        <v>417.56700000000001</v>
      </c>
      <c r="L35" s="437">
        <v>0</v>
      </c>
      <c r="M35" s="437">
        <f t="shared" si="0"/>
        <v>513.92880000000002</v>
      </c>
      <c r="N35" s="437">
        <f t="shared" si="1"/>
        <v>513.92880000000002</v>
      </c>
      <c r="O35" s="437">
        <v>0</v>
      </c>
      <c r="P35" s="437">
        <v>0</v>
      </c>
      <c r="Q35" s="437">
        <v>0</v>
      </c>
      <c r="R35" s="437">
        <v>0</v>
      </c>
      <c r="S35" s="273">
        <v>150</v>
      </c>
      <c r="T35" s="437">
        <f t="shared" si="2"/>
        <v>38.54</v>
      </c>
    </row>
    <row r="36" spans="1:20" ht="12.75" customHeight="1">
      <c r="A36" s="272">
        <v>26</v>
      </c>
      <c r="B36" s="273" t="s">
        <v>937</v>
      </c>
      <c r="C36" s="273">
        <v>80126</v>
      </c>
      <c r="D36" s="273">
        <v>25039</v>
      </c>
      <c r="E36" s="273">
        <v>0</v>
      </c>
      <c r="F36" s="273">
        <v>0</v>
      </c>
      <c r="G36" s="273">
        <f t="shared" si="3"/>
        <v>105165</v>
      </c>
      <c r="H36" s="302">
        <v>240</v>
      </c>
      <c r="I36" s="437">
        <v>3785.94</v>
      </c>
      <c r="J36" s="437">
        <v>3170.7249999999999</v>
      </c>
      <c r="K36" s="437">
        <v>615.21500000000003</v>
      </c>
      <c r="L36" s="437">
        <v>0</v>
      </c>
      <c r="M36" s="437">
        <f t="shared" si="0"/>
        <v>757.18799999999999</v>
      </c>
      <c r="N36" s="437">
        <f t="shared" si="1"/>
        <v>757.18799999999999</v>
      </c>
      <c r="O36" s="437">
        <v>0</v>
      </c>
      <c r="P36" s="437">
        <v>0</v>
      </c>
      <c r="Q36" s="437">
        <v>0</v>
      </c>
      <c r="R36" s="437">
        <v>0</v>
      </c>
      <c r="S36" s="273">
        <v>150</v>
      </c>
      <c r="T36" s="437">
        <f t="shared" si="2"/>
        <v>56.79</v>
      </c>
    </row>
    <row r="37" spans="1:20">
      <c r="A37" s="272">
        <v>27</v>
      </c>
      <c r="B37" s="273" t="s">
        <v>938</v>
      </c>
      <c r="C37" s="273">
        <v>63092</v>
      </c>
      <c r="D37" s="273">
        <v>17139</v>
      </c>
      <c r="E37" s="273">
        <v>0</v>
      </c>
      <c r="F37" s="273">
        <v>0</v>
      </c>
      <c r="G37" s="273">
        <f t="shared" si="3"/>
        <v>80231</v>
      </c>
      <c r="H37" s="302">
        <v>240</v>
      </c>
      <c r="I37" s="437">
        <v>2888.3160000000003</v>
      </c>
      <c r="J37" s="437">
        <v>2418.9650000000001</v>
      </c>
      <c r="K37" s="437">
        <v>469.351</v>
      </c>
      <c r="L37" s="437">
        <v>0</v>
      </c>
      <c r="M37" s="437">
        <f t="shared" si="0"/>
        <v>577.66319999999996</v>
      </c>
      <c r="N37" s="437">
        <f t="shared" si="1"/>
        <v>577.66319999999996</v>
      </c>
      <c r="O37" s="437">
        <v>0</v>
      </c>
      <c r="P37" s="437">
        <v>0</v>
      </c>
      <c r="Q37" s="437">
        <v>0</v>
      </c>
      <c r="R37" s="437">
        <v>0</v>
      </c>
      <c r="S37" s="273">
        <v>150</v>
      </c>
      <c r="T37" s="437">
        <f t="shared" si="2"/>
        <v>43.32</v>
      </c>
    </row>
    <row r="38" spans="1:20">
      <c r="A38" s="272">
        <v>28</v>
      </c>
      <c r="B38" s="273" t="s">
        <v>939</v>
      </c>
      <c r="C38" s="273">
        <v>77632</v>
      </c>
      <c r="D38" s="273">
        <v>23867</v>
      </c>
      <c r="E38" s="273">
        <v>0</v>
      </c>
      <c r="F38" s="273">
        <v>0</v>
      </c>
      <c r="G38" s="273">
        <f t="shared" si="3"/>
        <v>101499</v>
      </c>
      <c r="H38" s="302">
        <v>240</v>
      </c>
      <c r="I38" s="437">
        <v>3653.9639999999999</v>
      </c>
      <c r="J38" s="437">
        <v>3060.1950000000002</v>
      </c>
      <c r="K38" s="437">
        <v>593.76900000000001</v>
      </c>
      <c r="L38" s="437">
        <v>0</v>
      </c>
      <c r="M38" s="437">
        <f t="shared" si="0"/>
        <v>730.79280000000006</v>
      </c>
      <c r="N38" s="437">
        <f t="shared" si="1"/>
        <v>730.79280000000006</v>
      </c>
      <c r="O38" s="437">
        <v>0</v>
      </c>
      <c r="P38" s="437">
        <v>0</v>
      </c>
      <c r="Q38" s="437">
        <v>0</v>
      </c>
      <c r="R38" s="437">
        <v>0</v>
      </c>
      <c r="S38" s="273">
        <v>150</v>
      </c>
      <c r="T38" s="437">
        <f t="shared" si="2"/>
        <v>54.81</v>
      </c>
    </row>
    <row r="39" spans="1:20">
      <c r="A39" s="272">
        <v>29</v>
      </c>
      <c r="B39" s="273" t="s">
        <v>940</v>
      </c>
      <c r="C39" s="273">
        <v>34541</v>
      </c>
      <c r="D39" s="273">
        <v>16326</v>
      </c>
      <c r="E39" s="273">
        <v>0</v>
      </c>
      <c r="F39" s="273">
        <v>0</v>
      </c>
      <c r="G39" s="273">
        <f t="shared" si="3"/>
        <v>50867</v>
      </c>
      <c r="H39" s="302">
        <v>240</v>
      </c>
      <c r="I39" s="437">
        <v>1831.212</v>
      </c>
      <c r="J39" s="437">
        <v>1533.64</v>
      </c>
      <c r="K39" s="437">
        <v>297.572</v>
      </c>
      <c r="L39" s="437">
        <v>0</v>
      </c>
      <c r="M39" s="437">
        <f t="shared" si="0"/>
        <v>366.24239999999998</v>
      </c>
      <c r="N39" s="437">
        <f t="shared" si="1"/>
        <v>366.24239999999998</v>
      </c>
      <c r="O39" s="437">
        <v>0</v>
      </c>
      <c r="P39" s="437">
        <v>0</v>
      </c>
      <c r="Q39" s="437">
        <v>0</v>
      </c>
      <c r="R39" s="437">
        <v>0</v>
      </c>
      <c r="S39" s="273">
        <v>150</v>
      </c>
      <c r="T39" s="437">
        <f t="shared" si="2"/>
        <v>27.47</v>
      </c>
    </row>
    <row r="40" spans="1:20">
      <c r="A40" s="272">
        <v>30</v>
      </c>
      <c r="B40" s="273" t="s">
        <v>941</v>
      </c>
      <c r="C40" s="273">
        <v>84223</v>
      </c>
      <c r="D40" s="273">
        <v>14186</v>
      </c>
      <c r="E40" s="273">
        <v>0</v>
      </c>
      <c r="F40" s="273">
        <v>0</v>
      </c>
      <c r="G40" s="273">
        <f t="shared" si="3"/>
        <v>98409</v>
      </c>
      <c r="H40" s="302">
        <v>240</v>
      </c>
      <c r="I40" s="437">
        <v>3542.7240000000002</v>
      </c>
      <c r="J40" s="437">
        <v>2967.0309999999999</v>
      </c>
      <c r="K40" s="437">
        <v>575.69299999999998</v>
      </c>
      <c r="L40" s="437">
        <v>0</v>
      </c>
      <c r="M40" s="437">
        <f t="shared" si="0"/>
        <v>708.54480000000001</v>
      </c>
      <c r="N40" s="437">
        <f t="shared" si="1"/>
        <v>708.54480000000001</v>
      </c>
      <c r="O40" s="437">
        <v>0</v>
      </c>
      <c r="P40" s="437">
        <v>0</v>
      </c>
      <c r="Q40" s="437">
        <v>0</v>
      </c>
      <c r="R40" s="437">
        <v>0</v>
      </c>
      <c r="S40" s="273">
        <v>150</v>
      </c>
      <c r="T40" s="437">
        <f t="shared" si="2"/>
        <v>53.14</v>
      </c>
    </row>
    <row r="41" spans="1:20">
      <c r="A41" s="272">
        <v>31</v>
      </c>
      <c r="B41" s="273" t="s">
        <v>942</v>
      </c>
      <c r="C41" s="273">
        <v>74480</v>
      </c>
      <c r="D41" s="273">
        <v>20140</v>
      </c>
      <c r="E41" s="273">
        <v>0</v>
      </c>
      <c r="F41" s="273">
        <v>0</v>
      </c>
      <c r="G41" s="273">
        <f t="shared" si="3"/>
        <v>94620</v>
      </c>
      <c r="H41" s="302">
        <v>240</v>
      </c>
      <c r="I41" s="437">
        <v>3406.32</v>
      </c>
      <c r="J41" s="437">
        <v>2852.7930000000001</v>
      </c>
      <c r="K41" s="437">
        <v>553.52700000000004</v>
      </c>
      <c r="L41" s="437">
        <v>0</v>
      </c>
      <c r="M41" s="437">
        <f t="shared" si="0"/>
        <v>681.26400000000001</v>
      </c>
      <c r="N41" s="437">
        <f t="shared" si="1"/>
        <v>681.26400000000001</v>
      </c>
      <c r="O41" s="437">
        <v>0</v>
      </c>
      <c r="P41" s="437">
        <v>0</v>
      </c>
      <c r="Q41" s="437">
        <v>0</v>
      </c>
      <c r="R41" s="437">
        <v>0</v>
      </c>
      <c r="S41" s="273">
        <v>150</v>
      </c>
      <c r="T41" s="437">
        <f t="shared" si="2"/>
        <v>51.09</v>
      </c>
    </row>
    <row r="42" spans="1:20">
      <c r="A42" s="272">
        <v>32</v>
      </c>
      <c r="B42" s="273" t="s">
        <v>943</v>
      </c>
      <c r="C42" s="273">
        <v>50845</v>
      </c>
      <c r="D42" s="273">
        <v>4768</v>
      </c>
      <c r="E42" s="273">
        <v>0</v>
      </c>
      <c r="F42" s="273">
        <v>0</v>
      </c>
      <c r="G42" s="273">
        <f t="shared" si="3"/>
        <v>55613</v>
      </c>
      <c r="H42" s="302">
        <v>240</v>
      </c>
      <c r="I42" s="437">
        <v>2002.068</v>
      </c>
      <c r="J42" s="437">
        <v>1676.732</v>
      </c>
      <c r="K42" s="437">
        <v>325.33600000000001</v>
      </c>
      <c r="L42" s="437">
        <v>0</v>
      </c>
      <c r="M42" s="437">
        <f t="shared" si="0"/>
        <v>400.41359999999997</v>
      </c>
      <c r="N42" s="437">
        <f t="shared" si="1"/>
        <v>400.41359999999997</v>
      </c>
      <c r="O42" s="437">
        <v>0</v>
      </c>
      <c r="P42" s="437">
        <v>0</v>
      </c>
      <c r="Q42" s="437">
        <v>0</v>
      </c>
      <c r="R42" s="437">
        <v>0</v>
      </c>
      <c r="S42" s="273">
        <v>150</v>
      </c>
      <c r="T42" s="437">
        <f t="shared" si="2"/>
        <v>30.03</v>
      </c>
    </row>
    <row r="43" spans="1:20">
      <c r="A43" s="272">
        <v>33</v>
      </c>
      <c r="B43" s="273" t="s">
        <v>944</v>
      </c>
      <c r="C43" s="273">
        <v>72968</v>
      </c>
      <c r="D43" s="273">
        <v>7255</v>
      </c>
      <c r="E43" s="273">
        <v>0</v>
      </c>
      <c r="F43" s="273">
        <v>177</v>
      </c>
      <c r="G43" s="273">
        <f t="shared" si="3"/>
        <v>80400</v>
      </c>
      <c r="H43" s="302">
        <v>240</v>
      </c>
      <c r="I43" s="437">
        <v>2894.4</v>
      </c>
      <c r="J43" s="437">
        <v>2424.06</v>
      </c>
      <c r="K43" s="437">
        <v>470.34</v>
      </c>
      <c r="L43" s="437">
        <v>0</v>
      </c>
      <c r="M43" s="437">
        <f t="shared" si="0"/>
        <v>578.88</v>
      </c>
      <c r="N43" s="437">
        <f t="shared" si="1"/>
        <v>578.88</v>
      </c>
      <c r="O43" s="437">
        <v>0</v>
      </c>
      <c r="P43" s="437">
        <v>0</v>
      </c>
      <c r="Q43" s="437">
        <v>0</v>
      </c>
      <c r="R43" s="437">
        <v>0</v>
      </c>
      <c r="S43" s="273">
        <v>150</v>
      </c>
      <c r="T43" s="437">
        <f t="shared" si="2"/>
        <v>43.42</v>
      </c>
    </row>
    <row r="44" spans="1:20">
      <c r="A44" s="272">
        <v>34</v>
      </c>
      <c r="B44" s="273" t="s">
        <v>945</v>
      </c>
      <c r="C44" s="273">
        <v>44418</v>
      </c>
      <c r="D44" s="273">
        <v>3392</v>
      </c>
      <c r="E44" s="273">
        <v>0</v>
      </c>
      <c r="F44" s="273">
        <v>0</v>
      </c>
      <c r="G44" s="273">
        <f t="shared" si="3"/>
        <v>47810</v>
      </c>
      <c r="H44" s="302">
        <v>240</v>
      </c>
      <c r="I44" s="437">
        <v>1721.1610000000001</v>
      </c>
      <c r="J44" s="437">
        <v>1441.472</v>
      </c>
      <c r="K44" s="437">
        <v>279.68900000000002</v>
      </c>
      <c r="L44" s="437">
        <v>0</v>
      </c>
      <c r="M44" s="437">
        <f t="shared" si="0"/>
        <v>344.23200000000003</v>
      </c>
      <c r="N44" s="437">
        <f t="shared" si="1"/>
        <v>344.23200000000003</v>
      </c>
      <c r="O44" s="437">
        <v>0</v>
      </c>
      <c r="P44" s="437">
        <v>0</v>
      </c>
      <c r="Q44" s="437">
        <v>0</v>
      </c>
      <c r="R44" s="437">
        <v>0</v>
      </c>
      <c r="S44" s="273">
        <v>150</v>
      </c>
      <c r="T44" s="437">
        <f t="shared" si="2"/>
        <v>25.82</v>
      </c>
    </row>
    <row r="45" spans="1:20">
      <c r="A45" s="329" t="s">
        <v>17</v>
      </c>
      <c r="B45" s="399"/>
      <c r="C45" s="399">
        <f>SUM(C11:C44)</f>
        <v>1249536</v>
      </c>
      <c r="D45" s="399">
        <f>SUM(D11:D44)</f>
        <v>363770</v>
      </c>
      <c r="E45" s="399">
        <f>SUM(E11:E44)</f>
        <v>0</v>
      </c>
      <c r="F45" s="399">
        <f>SUM(F11:F44)</f>
        <v>884</v>
      </c>
      <c r="G45" s="399">
        <f>SUM(C45:F45)</f>
        <v>1614190</v>
      </c>
      <c r="H45" s="438"/>
      <c r="I45" s="439">
        <v>58110.841000000008</v>
      </c>
      <c r="J45" s="439">
        <v>48667.829000000005</v>
      </c>
      <c r="K45" s="439">
        <v>9443.0120000000006</v>
      </c>
      <c r="L45" s="439">
        <v>0</v>
      </c>
      <c r="M45" s="439">
        <f t="shared" ref="M45:R45" si="4">SUM(M11:M44)</f>
        <v>11622.167999999998</v>
      </c>
      <c r="N45" s="439">
        <f t="shared" si="4"/>
        <v>11622.167999999998</v>
      </c>
      <c r="O45" s="439">
        <f t="shared" si="4"/>
        <v>0</v>
      </c>
      <c r="P45" s="439">
        <f t="shared" si="4"/>
        <v>0</v>
      </c>
      <c r="Q45" s="439">
        <f t="shared" si="4"/>
        <v>0</v>
      </c>
      <c r="R45" s="439">
        <f t="shared" si="4"/>
        <v>0</v>
      </c>
      <c r="S45" s="399"/>
      <c r="T45" s="399">
        <f>SUM(T11:T44)</f>
        <v>871.67000000000007</v>
      </c>
    </row>
    <row r="46" spans="1:20">
      <c r="A46" s="275"/>
      <c r="B46" s="275"/>
      <c r="C46" s="275"/>
      <c r="D46" s="275"/>
      <c r="E46" s="275"/>
      <c r="F46" s="275"/>
      <c r="G46" s="275"/>
      <c r="H46" s="275"/>
      <c r="I46" s="268">
        <v>100</v>
      </c>
      <c r="J46" s="268">
        <f>J45/I45*100</f>
        <v>83.749999419213367</v>
      </c>
      <c r="K46" s="268">
        <f>K45/I45*100</f>
        <v>16.250000580786637</v>
      </c>
      <c r="L46" s="268"/>
      <c r="M46" s="268"/>
      <c r="N46" s="268"/>
      <c r="O46" s="268"/>
      <c r="P46" s="268"/>
      <c r="Q46" s="268"/>
      <c r="R46" s="268"/>
      <c r="S46" s="268"/>
      <c r="T46" s="268"/>
    </row>
    <row r="47" spans="1:20">
      <c r="A47" s="276" t="s">
        <v>7</v>
      </c>
      <c r="B47" s="277"/>
      <c r="C47" s="277"/>
      <c r="D47" s="275"/>
      <c r="E47" s="275"/>
      <c r="F47" s="275"/>
      <c r="G47" s="275"/>
      <c r="H47" s="275"/>
      <c r="I47" s="268"/>
      <c r="J47" s="268"/>
      <c r="K47" s="268"/>
      <c r="L47" s="268"/>
      <c r="M47" s="268"/>
      <c r="N47" s="268"/>
      <c r="O47" s="268"/>
      <c r="P47" s="268"/>
      <c r="Q47" s="268"/>
      <c r="R47" s="268"/>
      <c r="S47" s="268"/>
      <c r="T47" s="268"/>
    </row>
    <row r="48" spans="1:20">
      <c r="A48" s="278" t="s">
        <v>8</v>
      </c>
      <c r="B48" s="278"/>
      <c r="C48" s="278"/>
      <c r="H48" s="275"/>
      <c r="I48" s="268"/>
      <c r="J48" s="268"/>
      <c r="K48" s="268"/>
      <c r="L48" s="268"/>
      <c r="M48" s="268"/>
      <c r="N48" s="268"/>
      <c r="O48" s="268"/>
      <c r="P48" s="268"/>
      <c r="Q48" s="268"/>
      <c r="R48" s="268"/>
      <c r="S48" s="268"/>
      <c r="T48" s="268"/>
    </row>
    <row r="49" spans="1:20">
      <c r="A49" s="278" t="s">
        <v>9</v>
      </c>
      <c r="B49" s="278"/>
      <c r="C49" s="278"/>
      <c r="I49" s="268"/>
      <c r="J49" s="268"/>
      <c r="K49" s="268"/>
      <c r="L49" s="268"/>
      <c r="M49" s="268"/>
      <c r="N49" s="268"/>
      <c r="O49" s="268"/>
      <c r="P49" s="268"/>
      <c r="Q49" s="268"/>
      <c r="R49" s="268"/>
      <c r="S49" s="268"/>
      <c r="T49" s="268"/>
    </row>
    <row r="50" spans="1:20">
      <c r="A50" s="278"/>
      <c r="B50" s="278"/>
      <c r="C50" s="278"/>
      <c r="I50" s="268"/>
      <c r="J50" s="268"/>
      <c r="K50" s="268"/>
      <c r="L50" s="268"/>
      <c r="M50" s="268"/>
      <c r="N50" s="268"/>
      <c r="O50" s="268"/>
      <c r="P50" s="268"/>
      <c r="Q50" s="268"/>
      <c r="R50" s="268"/>
      <c r="S50" s="268"/>
      <c r="T50" s="268"/>
    </row>
    <row r="51" spans="1:20" ht="15">
      <c r="D51" s="1133" t="s">
        <v>906</v>
      </c>
      <c r="E51" s="1133"/>
      <c r="F51" s="1133"/>
      <c r="G51" s="440"/>
      <c r="I51" s="268"/>
      <c r="J51" s="268"/>
      <c r="K51" s="268"/>
      <c r="L51" s="268"/>
      <c r="M51" s="268"/>
      <c r="N51" s="268"/>
      <c r="O51" s="1136" t="s">
        <v>12</v>
      </c>
      <c r="P51" s="1136"/>
      <c r="Q51" s="1136"/>
      <c r="R51" s="1136"/>
      <c r="S51" s="268"/>
      <c r="T51" s="268"/>
    </row>
    <row r="52" spans="1:20" ht="15">
      <c r="D52" s="1148" t="s">
        <v>907</v>
      </c>
      <c r="E52" s="1148"/>
      <c r="F52" s="1148"/>
      <c r="G52" s="442"/>
      <c r="I52" s="268"/>
      <c r="J52" s="268"/>
      <c r="K52" s="268"/>
      <c r="L52" s="268"/>
      <c r="M52" s="268"/>
      <c r="N52" s="268"/>
      <c r="O52" s="1136" t="s">
        <v>13</v>
      </c>
      <c r="P52" s="1136"/>
      <c r="Q52" s="1136"/>
      <c r="R52" s="1136"/>
      <c r="S52" s="268"/>
      <c r="T52" s="268"/>
    </row>
    <row r="53" spans="1:20" ht="15">
      <c r="D53" s="1148" t="s">
        <v>908</v>
      </c>
      <c r="E53" s="1148"/>
      <c r="F53" s="1148"/>
      <c r="G53" s="442"/>
      <c r="I53" s="268"/>
      <c r="J53" s="268"/>
      <c r="K53" s="268"/>
      <c r="L53" s="268"/>
      <c r="M53" s="268"/>
      <c r="N53" s="268"/>
      <c r="O53" s="1136" t="s">
        <v>18</v>
      </c>
      <c r="P53" s="1136"/>
      <c r="Q53" s="1136"/>
      <c r="R53" s="1136"/>
      <c r="S53" s="268"/>
      <c r="T53" s="268"/>
    </row>
    <row r="54" spans="1:20" ht="15">
      <c r="A54" s="440" t="s">
        <v>11</v>
      </c>
      <c r="B54" s="290"/>
      <c r="C54" s="443"/>
      <c r="D54" s="440"/>
      <c r="E54" s="440"/>
      <c r="F54" s="440"/>
      <c r="G54" s="440"/>
      <c r="I54" s="268"/>
      <c r="J54" s="268"/>
      <c r="K54" s="268"/>
      <c r="L54" s="268"/>
      <c r="M54" s="268"/>
      <c r="N54" s="268"/>
      <c r="O54" s="801" t="s">
        <v>84</v>
      </c>
      <c r="P54" s="801"/>
      <c r="Q54" s="801"/>
      <c r="R54" s="801"/>
      <c r="S54" s="268"/>
      <c r="T54" s="268"/>
    </row>
    <row r="55" spans="1:20">
      <c r="I55" s="268"/>
      <c r="J55" s="268"/>
      <c r="K55" s="268"/>
      <c r="L55" s="268"/>
      <c r="M55" s="268"/>
      <c r="N55" s="268"/>
      <c r="O55" s="268"/>
      <c r="P55" s="268"/>
      <c r="Q55" s="268"/>
      <c r="R55" s="268"/>
      <c r="S55" s="268"/>
      <c r="T55" s="268"/>
    </row>
  </sheetData>
  <mergeCells count="22">
    <mergeCell ref="A6:T6"/>
    <mergeCell ref="G1:I1"/>
    <mergeCell ref="S1:T1"/>
    <mergeCell ref="A2:T2"/>
    <mergeCell ref="A3:T3"/>
    <mergeCell ref="A4:T5"/>
    <mergeCell ref="A7:B7"/>
    <mergeCell ref="L7:T7"/>
    <mergeCell ref="A8:A9"/>
    <mergeCell ref="B8:B9"/>
    <mergeCell ref="C8:G8"/>
    <mergeCell ref="H8:H9"/>
    <mergeCell ref="I8:L8"/>
    <mergeCell ref="M8:R8"/>
    <mergeCell ref="S8:T8"/>
    <mergeCell ref="O54:R54"/>
    <mergeCell ref="D51:F51"/>
    <mergeCell ref="O51:R51"/>
    <mergeCell ref="D52:F52"/>
    <mergeCell ref="O52:R52"/>
    <mergeCell ref="D53:F53"/>
    <mergeCell ref="O53:R53"/>
  </mergeCells>
  <printOptions horizontalCentered="1"/>
  <pageMargins left="0.70866141732283472" right="0.70866141732283472" top="0.23622047244094491" bottom="0"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Y32"/>
  <sheetViews>
    <sheetView view="pageBreakPreview" topLeftCell="E1" zoomScale="80" zoomScaleNormal="80" zoomScaleSheetLayoutView="80" workbookViewId="0">
      <selection activeCell="S31" sqref="S31:V31"/>
    </sheetView>
  </sheetViews>
  <sheetFormatPr defaultRowHeight="12.75"/>
  <cols>
    <col min="1" max="1" width="7.28515625" style="187" customWidth="1"/>
    <col min="2" max="2" width="26" style="187" customWidth="1"/>
    <col min="3" max="3" width="13.140625" style="187" customWidth="1"/>
    <col min="4" max="4" width="11.5703125" style="187" customWidth="1"/>
    <col min="5" max="5" width="11" style="187" customWidth="1"/>
    <col min="6" max="6" width="16" style="187" customWidth="1"/>
    <col min="7" max="10" width="13" style="187" customWidth="1"/>
    <col min="11" max="11" width="15.85546875" style="187" bestFit="1" customWidth="1"/>
    <col min="12" max="13" width="12.42578125" style="187" customWidth="1"/>
    <col min="14" max="14" width="11.140625" style="187" customWidth="1"/>
    <col min="15" max="15" width="16.85546875" style="187" customWidth="1"/>
    <col min="16" max="16" width="11.5703125" style="187" customWidth="1"/>
    <col min="17" max="17" width="10.28515625" style="187" customWidth="1"/>
    <col min="18" max="18" width="12.28515625" style="187" customWidth="1"/>
    <col min="19" max="19" width="16.7109375" style="187" customWidth="1"/>
    <col min="20" max="20" width="11.7109375" style="187" customWidth="1"/>
    <col min="21" max="21" width="11.28515625" style="187" customWidth="1"/>
    <col min="22" max="22" width="11.7109375" style="187" customWidth="1"/>
    <col min="23" max="23" width="15.85546875" style="187" customWidth="1"/>
    <col min="24" max="16384" width="9.140625" style="187"/>
  </cols>
  <sheetData>
    <row r="1" spans="1:25" ht="15">
      <c r="W1" s="188" t="s">
        <v>543</v>
      </c>
    </row>
    <row r="2" spans="1:25" ht="15.75">
      <c r="G2" s="129" t="s">
        <v>0</v>
      </c>
      <c r="H2" s="129"/>
      <c r="I2" s="129"/>
      <c r="J2" s="530"/>
      <c r="P2" s="87"/>
      <c r="Q2" s="87"/>
      <c r="R2" s="87"/>
      <c r="S2" s="87"/>
    </row>
    <row r="3" spans="1:25" ht="20.25">
      <c r="C3" s="881" t="s">
        <v>745</v>
      </c>
      <c r="D3" s="881"/>
      <c r="E3" s="881"/>
      <c r="F3" s="881"/>
      <c r="G3" s="881"/>
      <c r="H3" s="881"/>
      <c r="I3" s="881"/>
      <c r="J3" s="881"/>
      <c r="K3" s="881"/>
      <c r="L3" s="881"/>
      <c r="M3" s="881"/>
      <c r="N3" s="881"/>
      <c r="O3" s="881"/>
      <c r="P3" s="133"/>
      <c r="Q3" s="133"/>
      <c r="R3" s="133"/>
      <c r="S3" s="133"/>
      <c r="T3" s="133"/>
      <c r="U3" s="133"/>
      <c r="V3" s="133"/>
      <c r="W3" s="133"/>
      <c r="X3" s="133"/>
      <c r="Y3" s="133"/>
    </row>
    <row r="4" spans="1:25" ht="18">
      <c r="C4" s="189"/>
      <c r="D4" s="189"/>
      <c r="E4" s="189"/>
      <c r="F4" s="189"/>
      <c r="G4" s="189"/>
      <c r="H4" s="189"/>
      <c r="I4" s="189"/>
      <c r="J4" s="189"/>
      <c r="K4" s="189"/>
      <c r="L4" s="189"/>
      <c r="M4" s="189"/>
      <c r="N4" s="189"/>
      <c r="O4" s="189"/>
      <c r="P4" s="189"/>
      <c r="Q4" s="189"/>
      <c r="R4" s="189"/>
      <c r="S4" s="189"/>
      <c r="T4" s="189"/>
      <c r="U4" s="189"/>
      <c r="V4" s="189"/>
      <c r="W4" s="189"/>
    </row>
    <row r="5" spans="1:25" ht="15.75">
      <c r="B5" s="882" t="s">
        <v>796</v>
      </c>
      <c r="C5" s="882"/>
      <c r="D5" s="882"/>
      <c r="E5" s="882"/>
      <c r="F5" s="882"/>
      <c r="G5" s="882"/>
      <c r="H5" s="882"/>
      <c r="I5" s="882"/>
      <c r="J5" s="882"/>
      <c r="K5" s="882"/>
      <c r="L5" s="882"/>
      <c r="M5" s="882"/>
      <c r="N5" s="882"/>
      <c r="O5" s="882"/>
      <c r="P5" s="882"/>
      <c r="Q5" s="882"/>
      <c r="R5" s="882"/>
      <c r="S5" s="882"/>
      <c r="T5" s="882"/>
      <c r="U5" s="88"/>
      <c r="V5" s="883" t="s">
        <v>248</v>
      </c>
      <c r="W5" s="884"/>
    </row>
    <row r="6" spans="1:25" ht="15">
      <c r="L6" s="87"/>
      <c r="M6" s="87"/>
      <c r="N6" s="87"/>
      <c r="O6" s="87"/>
      <c r="P6" s="87"/>
      <c r="Q6" s="87"/>
      <c r="R6" s="87"/>
      <c r="S6" s="87"/>
    </row>
    <row r="7" spans="1:25" ht="22.5" customHeight="1">
      <c r="A7" s="885" t="s">
        <v>911</v>
      </c>
      <c r="B7" s="885"/>
      <c r="P7" s="886" t="s">
        <v>830</v>
      </c>
      <c r="Q7" s="886"/>
      <c r="R7" s="886"/>
      <c r="S7" s="886"/>
      <c r="T7" s="886"/>
      <c r="U7" s="886"/>
      <c r="V7" s="886"/>
      <c r="W7" s="886"/>
    </row>
    <row r="8" spans="1:25" ht="35.25" customHeight="1">
      <c r="A8" s="871" t="s">
        <v>2</v>
      </c>
      <c r="B8" s="871" t="s">
        <v>147</v>
      </c>
      <c r="C8" s="887" t="s">
        <v>148</v>
      </c>
      <c r="D8" s="887"/>
      <c r="E8" s="887"/>
      <c r="F8" s="887" t="s">
        <v>149</v>
      </c>
      <c r="G8" s="871" t="s">
        <v>177</v>
      </c>
      <c r="H8" s="871"/>
      <c r="I8" s="871"/>
      <c r="J8" s="871"/>
      <c r="K8" s="871"/>
      <c r="L8" s="871"/>
      <c r="M8" s="871"/>
      <c r="N8" s="871"/>
      <c r="O8" s="871"/>
      <c r="P8" s="871" t="s">
        <v>178</v>
      </c>
      <c r="Q8" s="871"/>
      <c r="R8" s="871"/>
      <c r="S8" s="871"/>
      <c r="T8" s="871"/>
      <c r="U8" s="871"/>
      <c r="V8" s="871"/>
      <c r="W8" s="871"/>
    </row>
    <row r="9" spans="1:25" ht="15">
      <c r="A9" s="871"/>
      <c r="B9" s="871"/>
      <c r="C9" s="887" t="s">
        <v>249</v>
      </c>
      <c r="D9" s="887" t="s">
        <v>43</v>
      </c>
      <c r="E9" s="887" t="s">
        <v>44</v>
      </c>
      <c r="F9" s="887"/>
      <c r="G9" s="871" t="s">
        <v>179</v>
      </c>
      <c r="H9" s="871"/>
      <c r="I9" s="871"/>
      <c r="J9" s="871"/>
      <c r="K9" s="871"/>
      <c r="L9" s="871" t="s">
        <v>164</v>
      </c>
      <c r="M9" s="871"/>
      <c r="N9" s="871"/>
      <c r="O9" s="871"/>
      <c r="P9" s="871" t="s">
        <v>150</v>
      </c>
      <c r="Q9" s="871"/>
      <c r="R9" s="871"/>
      <c r="S9" s="871"/>
      <c r="T9" s="871" t="s">
        <v>163</v>
      </c>
      <c r="U9" s="871"/>
      <c r="V9" s="871"/>
      <c r="W9" s="871"/>
    </row>
    <row r="10" spans="1:25" ht="15">
      <c r="A10" s="871"/>
      <c r="B10" s="871"/>
      <c r="C10" s="887"/>
      <c r="D10" s="887"/>
      <c r="E10" s="887"/>
      <c r="F10" s="887"/>
      <c r="G10" s="888" t="s">
        <v>151</v>
      </c>
      <c r="H10" s="889"/>
      <c r="I10" s="890"/>
      <c r="J10" s="528"/>
      <c r="K10" s="872" t="s">
        <v>152</v>
      </c>
      <c r="L10" s="875" t="s">
        <v>151</v>
      </c>
      <c r="M10" s="876"/>
      <c r="N10" s="877"/>
      <c r="O10" s="872" t="s">
        <v>152</v>
      </c>
      <c r="P10" s="875" t="s">
        <v>151</v>
      </c>
      <c r="Q10" s="876"/>
      <c r="R10" s="877"/>
      <c r="S10" s="872" t="s">
        <v>152</v>
      </c>
      <c r="T10" s="875" t="s">
        <v>151</v>
      </c>
      <c r="U10" s="876"/>
      <c r="V10" s="877"/>
      <c r="W10" s="872" t="s">
        <v>152</v>
      </c>
    </row>
    <row r="11" spans="1:25" ht="15" customHeight="1">
      <c r="A11" s="871"/>
      <c r="B11" s="871"/>
      <c r="C11" s="887"/>
      <c r="D11" s="887"/>
      <c r="E11" s="887"/>
      <c r="F11" s="887"/>
      <c r="G11" s="891"/>
      <c r="H11" s="892"/>
      <c r="I11" s="893"/>
      <c r="J11" s="534"/>
      <c r="K11" s="873"/>
      <c r="L11" s="878"/>
      <c r="M11" s="879"/>
      <c r="N11" s="880"/>
      <c r="O11" s="873"/>
      <c r="P11" s="878"/>
      <c r="Q11" s="879"/>
      <c r="R11" s="880"/>
      <c r="S11" s="873"/>
      <c r="T11" s="878"/>
      <c r="U11" s="879"/>
      <c r="V11" s="880"/>
      <c r="W11" s="873"/>
    </row>
    <row r="12" spans="1:25" ht="15">
      <c r="A12" s="871"/>
      <c r="B12" s="871"/>
      <c r="C12" s="887"/>
      <c r="D12" s="887"/>
      <c r="E12" s="887"/>
      <c r="F12" s="887"/>
      <c r="G12" s="191" t="s">
        <v>249</v>
      </c>
      <c r="H12" s="191" t="s">
        <v>43</v>
      </c>
      <c r="I12" s="192" t="s">
        <v>44</v>
      </c>
      <c r="J12" s="535"/>
      <c r="K12" s="874"/>
      <c r="L12" s="190" t="s">
        <v>249</v>
      </c>
      <c r="M12" s="190" t="s">
        <v>43</v>
      </c>
      <c r="N12" s="190" t="s">
        <v>44</v>
      </c>
      <c r="O12" s="874"/>
      <c r="P12" s="190" t="s">
        <v>249</v>
      </c>
      <c r="Q12" s="190" t="s">
        <v>43</v>
      </c>
      <c r="R12" s="190" t="s">
        <v>44</v>
      </c>
      <c r="S12" s="874"/>
      <c r="T12" s="190" t="s">
        <v>249</v>
      </c>
      <c r="U12" s="190" t="s">
        <v>43</v>
      </c>
      <c r="V12" s="190" t="s">
        <v>44</v>
      </c>
      <c r="W12" s="874"/>
    </row>
    <row r="13" spans="1:25" ht="15">
      <c r="A13" s="190">
        <v>1</v>
      </c>
      <c r="B13" s="190">
        <v>2</v>
      </c>
      <c r="C13" s="190">
        <v>3</v>
      </c>
      <c r="D13" s="190">
        <v>4</v>
      </c>
      <c r="E13" s="190">
        <v>5</v>
      </c>
      <c r="F13" s="190">
        <v>6</v>
      </c>
      <c r="G13" s="190">
        <v>7</v>
      </c>
      <c r="H13" s="190">
        <v>8</v>
      </c>
      <c r="I13" s="190">
        <v>9</v>
      </c>
      <c r="J13" s="527"/>
      <c r="K13" s="190">
        <v>10</v>
      </c>
      <c r="L13" s="190">
        <v>11</v>
      </c>
      <c r="M13" s="190">
        <v>12</v>
      </c>
      <c r="N13" s="190">
        <v>13</v>
      </c>
      <c r="O13" s="190">
        <v>14</v>
      </c>
      <c r="P13" s="190">
        <v>15</v>
      </c>
      <c r="Q13" s="190">
        <v>16</v>
      </c>
      <c r="R13" s="190">
        <v>17</v>
      </c>
      <c r="S13" s="190">
        <v>18</v>
      </c>
      <c r="T13" s="190">
        <v>19</v>
      </c>
      <c r="U13" s="190">
        <v>20</v>
      </c>
      <c r="V13" s="190">
        <v>21</v>
      </c>
      <c r="W13" s="190">
        <v>22</v>
      </c>
    </row>
    <row r="14" spans="1:25" ht="15">
      <c r="A14" s="894" t="s">
        <v>209</v>
      </c>
      <c r="B14" s="895"/>
      <c r="C14" s="190"/>
      <c r="D14" s="190"/>
      <c r="E14" s="190"/>
      <c r="F14" s="190"/>
      <c r="G14" s="190"/>
      <c r="H14" s="190"/>
      <c r="I14" s="190"/>
      <c r="J14" s="527" t="s">
        <v>998</v>
      </c>
      <c r="K14" s="190"/>
      <c r="L14" s="190"/>
      <c r="M14" s="190"/>
      <c r="N14" s="190"/>
      <c r="O14" s="190"/>
      <c r="P14" s="190"/>
      <c r="Q14" s="190"/>
      <c r="R14" s="190"/>
      <c r="S14" s="190"/>
      <c r="T14" s="190"/>
      <c r="U14" s="190"/>
      <c r="V14" s="190"/>
      <c r="W14" s="190"/>
    </row>
    <row r="15" spans="1:25" ht="24" customHeight="1">
      <c r="A15" s="190">
        <v>1</v>
      </c>
      <c r="B15" s="193" t="s">
        <v>208</v>
      </c>
      <c r="C15" s="390">
        <v>7421.01</v>
      </c>
      <c r="D15" s="390">
        <v>1958.04</v>
      </c>
      <c r="E15" s="390">
        <v>797.87</v>
      </c>
      <c r="F15" s="391">
        <v>43584</v>
      </c>
      <c r="G15" s="382">
        <f>ROUND(J15*0.73,2)</f>
        <v>14997.17</v>
      </c>
      <c r="H15" s="382">
        <f>ROUND(J15*0.19,2)</f>
        <v>3903.37</v>
      </c>
      <c r="I15" s="382">
        <f>J15-G15-H15</f>
        <v>1643.5300000000034</v>
      </c>
      <c r="J15" s="390">
        <v>20544.070000000003</v>
      </c>
      <c r="K15" s="391">
        <v>43584</v>
      </c>
      <c r="L15" s="390">
        <v>7421.01</v>
      </c>
      <c r="M15" s="390">
        <v>1958.04</v>
      </c>
      <c r="N15" s="390">
        <v>797.87</v>
      </c>
      <c r="O15" s="391">
        <v>43608</v>
      </c>
      <c r="P15" s="390">
        <f>ROUND(L15*0.8,2)</f>
        <v>5936.81</v>
      </c>
      <c r="Q15" s="390">
        <f t="shared" ref="Q15:R15" si="0">ROUND(M15*0.8,2)</f>
        <v>1566.43</v>
      </c>
      <c r="R15" s="390">
        <f t="shared" si="0"/>
        <v>638.29999999999995</v>
      </c>
      <c r="S15" s="391">
        <v>43611</v>
      </c>
      <c r="T15" s="390">
        <f>ROUND(P15*0.9,2)</f>
        <v>5343.13</v>
      </c>
      <c r="U15" s="390">
        <f t="shared" ref="U15:V15" si="1">ROUND(Q15*0.9,2)</f>
        <v>1409.79</v>
      </c>
      <c r="V15" s="390">
        <f t="shared" si="1"/>
        <v>574.47</v>
      </c>
      <c r="W15" s="391">
        <v>43615</v>
      </c>
    </row>
    <row r="16" spans="1:25" ht="24" customHeight="1">
      <c r="A16" s="190">
        <v>2</v>
      </c>
      <c r="B16" s="193" t="s">
        <v>153</v>
      </c>
      <c r="C16" s="390">
        <v>11835.88</v>
      </c>
      <c r="D16" s="390">
        <v>3122.9</v>
      </c>
      <c r="E16" s="390">
        <v>1272.53</v>
      </c>
      <c r="F16" s="391">
        <v>43726</v>
      </c>
      <c r="G16" s="382">
        <f>ROUND(J16*0.73,2)</f>
        <v>23937.83</v>
      </c>
      <c r="H16" s="382">
        <f>ROUND(J16*0.19,2)</f>
        <v>6230.39</v>
      </c>
      <c r="I16" s="382">
        <f>J16-G16-H16</f>
        <v>2623.3299999999936</v>
      </c>
      <c r="J16" s="390">
        <v>32791.549999999996</v>
      </c>
      <c r="K16" s="391">
        <v>43726</v>
      </c>
      <c r="L16" s="390">
        <v>11835.88</v>
      </c>
      <c r="M16" s="390">
        <v>3122.9</v>
      </c>
      <c r="N16" s="390">
        <v>1272.53</v>
      </c>
      <c r="O16" s="391">
        <v>43774</v>
      </c>
      <c r="P16" s="390">
        <f t="shared" ref="P16:P18" si="2">ROUND(L16*0.8,2)</f>
        <v>9468.7000000000007</v>
      </c>
      <c r="Q16" s="390">
        <f t="shared" ref="Q16:Q18" si="3">ROUND(M16*0.8,2)</f>
        <v>2498.3200000000002</v>
      </c>
      <c r="R16" s="390">
        <f t="shared" ref="R16:R18" si="4">ROUND(N16*0.8,2)</f>
        <v>1018.02</v>
      </c>
      <c r="S16" s="391">
        <v>43777</v>
      </c>
      <c r="T16" s="390">
        <f t="shared" ref="T16:T18" si="5">ROUND(P16*0.9,2)</f>
        <v>8521.83</v>
      </c>
      <c r="U16" s="390">
        <f t="shared" ref="U16:U18" si="6">ROUND(Q16*0.9,2)</f>
        <v>2248.4899999999998</v>
      </c>
      <c r="V16" s="390">
        <f t="shared" ref="V16:V18" si="7">ROUND(R16*0.9,2)</f>
        <v>916.22</v>
      </c>
      <c r="W16" s="391">
        <v>43782</v>
      </c>
    </row>
    <row r="17" spans="1:23" ht="21.75" customHeight="1">
      <c r="A17" s="368">
        <v>3</v>
      </c>
      <c r="B17" s="193" t="s">
        <v>910</v>
      </c>
      <c r="C17" s="390">
        <v>4888.78</v>
      </c>
      <c r="D17" s="390">
        <v>1289.9100000000001</v>
      </c>
      <c r="E17" s="390">
        <v>525.62</v>
      </c>
      <c r="F17" s="391">
        <v>43726</v>
      </c>
      <c r="G17" s="382">
        <f>ROUND(J17*0.73,2)</f>
        <v>10218.219999999999</v>
      </c>
      <c r="H17" s="382">
        <f>ROUND(J17*0.19,2)</f>
        <v>2659.54</v>
      </c>
      <c r="I17" s="382">
        <f>J17-G17-H17</f>
        <v>1119.800000000002</v>
      </c>
      <c r="J17" s="390">
        <v>13997.560000000001</v>
      </c>
      <c r="K17" s="391">
        <v>43726</v>
      </c>
      <c r="L17" s="390">
        <v>4888.78</v>
      </c>
      <c r="M17" s="390">
        <v>1289.9100000000001</v>
      </c>
      <c r="N17" s="390">
        <v>525.62</v>
      </c>
      <c r="O17" s="391">
        <v>43774</v>
      </c>
      <c r="P17" s="390">
        <f t="shared" si="2"/>
        <v>3911.02</v>
      </c>
      <c r="Q17" s="390">
        <f t="shared" si="3"/>
        <v>1031.93</v>
      </c>
      <c r="R17" s="390">
        <f t="shared" si="4"/>
        <v>420.5</v>
      </c>
      <c r="S17" s="391">
        <v>43777</v>
      </c>
      <c r="T17" s="390">
        <f t="shared" si="5"/>
        <v>3519.92</v>
      </c>
      <c r="U17" s="390">
        <f t="shared" si="6"/>
        <v>928.74</v>
      </c>
      <c r="V17" s="390">
        <f t="shared" si="7"/>
        <v>378.45</v>
      </c>
      <c r="W17" s="391">
        <v>43782</v>
      </c>
    </row>
    <row r="18" spans="1:23" ht="19.5" customHeight="1">
      <c r="A18" s="368">
        <v>4</v>
      </c>
      <c r="B18" s="193" t="s">
        <v>154</v>
      </c>
      <c r="C18" s="390">
        <v>13789.91</v>
      </c>
      <c r="D18" s="390">
        <v>3638.48</v>
      </c>
      <c r="E18" s="390">
        <v>1482.62</v>
      </c>
      <c r="F18" s="391">
        <v>43815</v>
      </c>
      <c r="G18" s="382">
        <f>ROUND(J18*0.73,2)</f>
        <v>27365.65</v>
      </c>
      <c r="H18" s="382">
        <f>ROUND(J18*0.19,2)</f>
        <v>7122.57</v>
      </c>
      <c r="I18" s="382">
        <f>J18-G18-H18</f>
        <v>2998.9700000000012</v>
      </c>
      <c r="J18" s="390">
        <v>37487.19</v>
      </c>
      <c r="K18" s="391">
        <v>43815</v>
      </c>
      <c r="L18" s="390">
        <v>13789.91</v>
      </c>
      <c r="M18" s="390">
        <v>3638.48</v>
      </c>
      <c r="N18" s="390">
        <v>1482.62</v>
      </c>
      <c r="O18" s="391">
        <v>43817</v>
      </c>
      <c r="P18" s="390">
        <f t="shared" si="2"/>
        <v>11031.93</v>
      </c>
      <c r="Q18" s="390">
        <f t="shared" si="3"/>
        <v>2910.78</v>
      </c>
      <c r="R18" s="390">
        <f t="shared" si="4"/>
        <v>1186.0999999999999</v>
      </c>
      <c r="S18" s="391">
        <v>43819</v>
      </c>
      <c r="T18" s="390">
        <f t="shared" si="5"/>
        <v>9928.74</v>
      </c>
      <c r="U18" s="390">
        <f t="shared" si="6"/>
        <v>2619.6999999999998</v>
      </c>
      <c r="V18" s="390">
        <f t="shared" si="7"/>
        <v>1067.49</v>
      </c>
      <c r="W18" s="391">
        <v>43823</v>
      </c>
    </row>
    <row r="19" spans="1:23" ht="16.5">
      <c r="A19" s="894" t="s">
        <v>210</v>
      </c>
      <c r="B19" s="895"/>
      <c r="C19" s="390"/>
      <c r="D19" s="390"/>
      <c r="E19" s="390"/>
      <c r="F19" s="391"/>
      <c r="G19" s="390"/>
      <c r="H19" s="390"/>
      <c r="I19" s="390"/>
      <c r="J19" s="390"/>
      <c r="K19" s="390"/>
      <c r="L19" s="390"/>
      <c r="M19" s="390"/>
      <c r="N19" s="390"/>
      <c r="O19" s="390"/>
      <c r="P19" s="390"/>
      <c r="Q19" s="390"/>
      <c r="R19" s="390"/>
      <c r="S19" s="390"/>
      <c r="T19" s="390"/>
      <c r="U19" s="390"/>
      <c r="V19" s="390"/>
      <c r="W19" s="390"/>
    </row>
    <row r="20" spans="1:23" ht="21.75" customHeight="1">
      <c r="A20" s="190">
        <v>4</v>
      </c>
      <c r="B20" s="193" t="s">
        <v>199</v>
      </c>
      <c r="C20" s="390"/>
      <c r="D20" s="390"/>
      <c r="E20" s="390"/>
      <c r="F20" s="391"/>
      <c r="G20" s="390"/>
      <c r="H20" s="390"/>
      <c r="I20" s="390"/>
      <c r="J20" s="390"/>
      <c r="K20" s="390"/>
      <c r="L20" s="390"/>
      <c r="M20" s="390"/>
      <c r="N20" s="390"/>
      <c r="O20" s="390"/>
      <c r="P20" s="390"/>
      <c r="Q20" s="390"/>
      <c r="R20" s="390"/>
      <c r="S20" s="390"/>
      <c r="T20" s="390"/>
      <c r="U20" s="390"/>
      <c r="V20" s="390"/>
      <c r="W20" s="390"/>
    </row>
    <row r="21" spans="1:23" ht="21" customHeight="1">
      <c r="A21" s="190">
        <v>5</v>
      </c>
      <c r="B21" s="193" t="s">
        <v>132</v>
      </c>
      <c r="C21" s="390"/>
      <c r="D21" s="390"/>
      <c r="E21" s="390"/>
      <c r="F21" s="391"/>
      <c r="G21" s="390"/>
      <c r="H21" s="390"/>
      <c r="I21" s="390"/>
      <c r="J21" s="390"/>
      <c r="K21" s="390"/>
      <c r="L21" s="390"/>
      <c r="M21" s="390"/>
      <c r="N21" s="390"/>
      <c r="O21" s="390"/>
      <c r="P21" s="390"/>
      <c r="Q21" s="390"/>
      <c r="R21" s="390"/>
      <c r="S21" s="390"/>
      <c r="T21" s="390"/>
      <c r="U21" s="390"/>
      <c r="V21" s="390"/>
      <c r="W21" s="390"/>
    </row>
    <row r="22" spans="1:23" ht="27.75" customHeight="1">
      <c r="A22" s="341">
        <v>6</v>
      </c>
      <c r="B22" s="168" t="s">
        <v>849</v>
      </c>
      <c r="C22" s="390"/>
      <c r="D22" s="390"/>
      <c r="E22" s="390"/>
      <c r="F22" s="391"/>
      <c r="G22" s="390"/>
      <c r="H22" s="390"/>
      <c r="I22" s="390"/>
      <c r="J22" s="390"/>
      <c r="K22" s="390"/>
      <c r="L22" s="390"/>
      <c r="M22" s="390"/>
      <c r="N22" s="390"/>
      <c r="O22" s="390"/>
      <c r="P22" s="390"/>
      <c r="Q22" s="390"/>
      <c r="R22" s="390"/>
      <c r="S22" s="390"/>
      <c r="T22" s="390"/>
      <c r="U22" s="390"/>
      <c r="V22" s="390"/>
      <c r="W22" s="390"/>
    </row>
    <row r="25" spans="1:23" ht="14.25">
      <c r="A25" s="896" t="s">
        <v>165</v>
      </c>
      <c r="B25" s="896"/>
      <c r="C25" s="896"/>
      <c r="D25" s="896"/>
      <c r="E25" s="896"/>
      <c r="F25" s="896"/>
      <c r="G25" s="896"/>
      <c r="H25" s="896"/>
      <c r="I25" s="896"/>
      <c r="J25" s="896"/>
      <c r="K25" s="896"/>
      <c r="L25" s="896"/>
      <c r="M25" s="896"/>
      <c r="N25" s="896"/>
      <c r="O25" s="896"/>
      <c r="P25" s="896"/>
      <c r="Q25" s="896"/>
      <c r="R25" s="896"/>
      <c r="S25" s="896"/>
      <c r="T25" s="896"/>
      <c r="U25" s="896"/>
      <c r="V25" s="896"/>
      <c r="W25" s="896"/>
    </row>
    <row r="26" spans="1:23" ht="14.25">
      <c r="A26" s="194"/>
      <c r="B26" s="194"/>
      <c r="C26" s="194"/>
      <c r="D26" s="194"/>
      <c r="E26" s="194"/>
      <c r="F26" s="194"/>
      <c r="G26" s="194"/>
      <c r="H26" s="194"/>
      <c r="I26" s="194"/>
      <c r="J26" s="526"/>
      <c r="K26" s="194"/>
      <c r="L26" s="194"/>
      <c r="M26" s="194"/>
      <c r="N26" s="194"/>
      <c r="O26" s="194"/>
      <c r="P26" s="194"/>
      <c r="Q26" s="194"/>
      <c r="R26" s="194"/>
      <c r="S26" s="194"/>
      <c r="T26" s="194"/>
      <c r="U26" s="194"/>
      <c r="V26" s="194"/>
      <c r="W26" s="194"/>
    </row>
    <row r="28" spans="1:23" ht="14.25">
      <c r="A28" s="373"/>
      <c r="B28" s="373"/>
      <c r="C28" s="373"/>
      <c r="D28" s="373"/>
      <c r="E28" s="373"/>
      <c r="F28" s="373"/>
      <c r="G28" s="373"/>
      <c r="H28" s="373"/>
      <c r="I28" s="373"/>
      <c r="J28" s="526"/>
      <c r="K28" s="373"/>
      <c r="P28" s="373"/>
      <c r="Q28" s="373"/>
      <c r="R28" s="373"/>
      <c r="S28" s="804" t="s">
        <v>12</v>
      </c>
      <c r="T28" s="804"/>
      <c r="U28" s="804"/>
      <c r="V28" s="804"/>
      <c r="W28" s="372"/>
    </row>
    <row r="29" spans="1:23" ht="12.75" customHeight="1">
      <c r="A29" s="86"/>
      <c r="B29" s="803" t="s">
        <v>906</v>
      </c>
      <c r="C29" s="803"/>
      <c r="D29" s="803"/>
      <c r="E29" s="803"/>
      <c r="F29" s="86"/>
      <c r="G29" s="86"/>
      <c r="H29" s="86"/>
      <c r="I29" s="86"/>
      <c r="J29" s="86"/>
      <c r="K29" s="86"/>
      <c r="P29" s="86"/>
      <c r="Q29" s="86"/>
      <c r="R29" s="86"/>
      <c r="S29" s="804" t="s">
        <v>13</v>
      </c>
      <c r="T29" s="804"/>
      <c r="U29" s="804"/>
      <c r="V29" s="804"/>
      <c r="W29" s="372"/>
    </row>
    <row r="30" spans="1:23" ht="15.75" customHeight="1">
      <c r="A30" s="98"/>
      <c r="B30" s="804" t="s">
        <v>907</v>
      </c>
      <c r="C30" s="804"/>
      <c r="D30" s="804"/>
      <c r="E30" s="804"/>
      <c r="F30" s="98"/>
      <c r="G30" s="98"/>
      <c r="H30" s="98"/>
      <c r="I30" s="98"/>
      <c r="J30" s="98"/>
      <c r="K30" s="98"/>
      <c r="P30" s="98"/>
      <c r="Q30" s="98"/>
      <c r="S30" s="804" t="s">
        <v>18</v>
      </c>
      <c r="T30" s="804"/>
      <c r="U30" s="804"/>
      <c r="V30" s="804"/>
      <c r="W30" s="372"/>
    </row>
    <row r="31" spans="1:23" ht="15.75">
      <c r="B31" s="804" t="s">
        <v>908</v>
      </c>
      <c r="C31" s="804"/>
      <c r="D31" s="804"/>
      <c r="E31" s="804"/>
      <c r="F31" s="374"/>
      <c r="G31" s="374"/>
      <c r="H31" s="374"/>
      <c r="I31" s="374"/>
      <c r="J31" s="531"/>
      <c r="K31" s="374"/>
      <c r="P31" s="374"/>
      <c r="Q31" s="374"/>
      <c r="R31" s="374"/>
      <c r="S31" s="803" t="s">
        <v>84</v>
      </c>
      <c r="T31" s="803"/>
      <c r="U31" s="803"/>
      <c r="V31" s="803"/>
      <c r="W31" s="371"/>
    </row>
    <row r="32" spans="1:23" ht="15.75">
      <c r="A32" s="13" t="s">
        <v>11</v>
      </c>
      <c r="B32" s="374"/>
      <c r="C32" s="374"/>
      <c r="D32" s="374"/>
      <c r="F32" s="86"/>
      <c r="G32" s="86"/>
      <c r="H32" s="86"/>
      <c r="I32" s="86"/>
      <c r="J32" s="86"/>
      <c r="K32" s="86"/>
      <c r="L32" s="86"/>
      <c r="M32" s="86"/>
      <c r="N32" s="86"/>
      <c r="P32" s="86"/>
      <c r="Q32" s="86"/>
    </row>
  </sheetData>
  <mergeCells count="36">
    <mergeCell ref="B31:E31"/>
    <mergeCell ref="A14:B14"/>
    <mergeCell ref="A19:B19"/>
    <mergeCell ref="A25:W25"/>
    <mergeCell ref="B29:E29"/>
    <mergeCell ref="B30:E30"/>
    <mergeCell ref="S30:V30"/>
    <mergeCell ref="S29:V29"/>
    <mergeCell ref="S28:V28"/>
    <mergeCell ref="S31:V31"/>
    <mergeCell ref="P8:W8"/>
    <mergeCell ref="A8:A12"/>
    <mergeCell ref="B8:B12"/>
    <mergeCell ref="C8:E8"/>
    <mergeCell ref="F8:F12"/>
    <mergeCell ref="G8:O8"/>
    <mergeCell ref="G10:I11"/>
    <mergeCell ref="K10:K12"/>
    <mergeCell ref="L10:N11"/>
    <mergeCell ref="O10:O12"/>
    <mergeCell ref="C9:C12"/>
    <mergeCell ref="D9:D12"/>
    <mergeCell ref="E9:E12"/>
    <mergeCell ref="G9:K9"/>
    <mergeCell ref="W10:W12"/>
    <mergeCell ref="T10:V11"/>
    <mergeCell ref="C3:O3"/>
    <mergeCell ref="B5:T5"/>
    <mergeCell ref="V5:W5"/>
    <mergeCell ref="A7:B7"/>
    <mergeCell ref="P7:W7"/>
    <mergeCell ref="L9:O9"/>
    <mergeCell ref="P9:S9"/>
    <mergeCell ref="T9:W9"/>
    <mergeCell ref="S10:S12"/>
    <mergeCell ref="P10:R11"/>
  </mergeCells>
  <printOptions horizontalCentered="1"/>
  <pageMargins left="0.70866141732283472" right="0.70866141732283472" top="0.23622047244094491" bottom="0" header="0.31496062992125984" footer="0.31496062992125984"/>
  <pageSetup paperSize="9" scale="43" orientation="landscape" r:id="rId1"/>
  <colBreaks count="1" manualBreakCount="1">
    <brk id="23" max="1048575" man="1"/>
  </colBreaks>
</worksheet>
</file>

<file path=xl/worksheets/sheet60.xml><?xml version="1.0" encoding="utf-8"?>
<worksheet xmlns="http://schemas.openxmlformats.org/spreadsheetml/2006/main" xmlns:r="http://schemas.openxmlformats.org/officeDocument/2006/relationships">
  <sheetPr codeName="Sheet60">
    <tabColor rgb="FF92D050"/>
    <pageSetUpPr fitToPage="1"/>
  </sheetPr>
  <dimension ref="A1:O50"/>
  <sheetViews>
    <sheetView tabSelected="1" view="pageBreakPreview" zoomScale="80" zoomScaleNormal="90" zoomScaleSheetLayoutView="80" workbookViewId="0">
      <pane xSplit="5" ySplit="7" topLeftCell="F8" activePane="bottomRight" state="frozen"/>
      <selection pane="topRight" activeCell="F1" sqref="F1"/>
      <selection pane="bottomLeft" activeCell="A8" sqref="A8"/>
      <selection pane="bottomRight" activeCell="G17" sqref="G17"/>
    </sheetView>
  </sheetViews>
  <sheetFormatPr defaultRowHeight="12.75"/>
  <cols>
    <col min="1" max="1" width="7.140625" style="698" customWidth="1"/>
    <col min="2" max="2" width="23.140625" style="698" bestFit="1" customWidth="1"/>
    <col min="3" max="3" width="17.28515625" style="698" customWidth="1"/>
    <col min="4" max="4" width="12.28515625" style="698" bestFit="1" customWidth="1"/>
    <col min="5" max="5" width="12.28515625" style="698" customWidth="1"/>
    <col min="6" max="6" width="11.140625" style="698" customWidth="1"/>
    <col min="7" max="7" width="13.28515625" style="698" customWidth="1"/>
    <col min="8" max="8" width="18" style="698" customWidth="1"/>
    <col min="9" max="9" width="15" style="698" customWidth="1"/>
    <col min="10" max="10" width="14.7109375" style="698" customWidth="1"/>
    <col min="11" max="11" width="11.7109375" style="698" bestFit="1" customWidth="1"/>
    <col min="12" max="12" width="15.5703125" style="698" customWidth="1"/>
    <col min="13" max="13" width="14.5703125" style="698" customWidth="1"/>
    <col min="14" max="14" width="11.7109375" style="698" customWidth="1"/>
    <col min="15" max="15" width="17.85546875" style="698" customWidth="1"/>
    <col min="16" max="16384" width="9.140625" style="698"/>
  </cols>
  <sheetData>
    <row r="1" spans="1:15">
      <c r="A1" s="86"/>
      <c r="B1" s="86"/>
      <c r="C1" s="86"/>
      <c r="D1" s="86"/>
      <c r="E1" s="86"/>
      <c r="F1" s="86"/>
      <c r="G1" s="279"/>
      <c r="H1" s="279"/>
      <c r="I1" s="279"/>
      <c r="J1" s="279"/>
      <c r="K1" s="279"/>
      <c r="L1" s="279"/>
      <c r="M1" s="308" t="s">
        <v>1176</v>
      </c>
      <c r="N1" s="308"/>
      <c r="O1" s="279"/>
    </row>
    <row r="2" spans="1:15" ht="15.75">
      <c r="A2" s="1043" t="s">
        <v>0</v>
      </c>
      <c r="B2" s="1043"/>
      <c r="C2" s="1043"/>
      <c r="D2" s="1043"/>
      <c r="E2" s="1043"/>
      <c r="F2" s="1043"/>
      <c r="G2" s="1043"/>
      <c r="H2" s="1043"/>
      <c r="I2" s="1043"/>
      <c r="J2" s="1043"/>
      <c r="K2" s="1043"/>
      <c r="L2" s="1043"/>
      <c r="M2" s="1043"/>
      <c r="N2" s="1043"/>
      <c r="O2" s="1043"/>
    </row>
    <row r="3" spans="1:15" ht="20.25">
      <c r="A3" s="881" t="s">
        <v>745</v>
      </c>
      <c r="B3" s="881"/>
      <c r="C3" s="881"/>
      <c r="D3" s="881"/>
      <c r="E3" s="881"/>
      <c r="F3" s="881"/>
      <c r="G3" s="881"/>
      <c r="H3" s="881"/>
      <c r="I3" s="881"/>
      <c r="J3" s="881"/>
      <c r="K3" s="881"/>
      <c r="L3" s="881"/>
      <c r="M3" s="881"/>
      <c r="N3" s="881"/>
      <c r="O3" s="881"/>
    </row>
    <row r="4" spans="1:15" ht="18">
      <c r="A4" s="1155" t="s">
        <v>1197</v>
      </c>
      <c r="B4" s="1155"/>
      <c r="C4" s="1155"/>
      <c r="D4" s="1155"/>
      <c r="E4" s="1155"/>
      <c r="F4" s="1155"/>
      <c r="G4" s="1155"/>
      <c r="H4" s="1155"/>
      <c r="I4" s="1155"/>
      <c r="J4" s="1155"/>
      <c r="K4" s="1155"/>
      <c r="L4" s="1155"/>
      <c r="M4" s="1155"/>
      <c r="N4" s="1155"/>
      <c r="O4" s="1155"/>
    </row>
    <row r="5" spans="1:15">
      <c r="A5" s="1156" t="s">
        <v>960</v>
      </c>
      <c r="B5" s="1156"/>
      <c r="C5" s="760"/>
    </row>
    <row r="6" spans="1:15" ht="47.25" customHeight="1">
      <c r="A6" s="1150" t="s">
        <v>1177</v>
      </c>
      <c r="B6" s="1150" t="s">
        <v>1178</v>
      </c>
      <c r="C6" s="1150" t="s">
        <v>1193</v>
      </c>
      <c r="D6" s="1150" t="s">
        <v>1194</v>
      </c>
      <c r="E6" s="1150" t="s">
        <v>17</v>
      </c>
      <c r="F6" s="1150" t="s">
        <v>1179</v>
      </c>
      <c r="G6" s="1150" t="s">
        <v>1217</v>
      </c>
      <c r="H6" s="1150" t="s">
        <v>1218</v>
      </c>
      <c r="I6" s="1152" t="s">
        <v>1195</v>
      </c>
      <c r="J6" s="1153"/>
      <c r="K6" s="1154"/>
      <c r="L6" s="1152" t="s">
        <v>1196</v>
      </c>
      <c r="M6" s="1153"/>
      <c r="N6" s="1154"/>
      <c r="O6" s="1150" t="s">
        <v>1180</v>
      </c>
    </row>
    <row r="7" spans="1:15" ht="54.75" customHeight="1">
      <c r="A7" s="1151"/>
      <c r="B7" s="1151"/>
      <c r="C7" s="1151"/>
      <c r="D7" s="1151"/>
      <c r="E7" s="1151"/>
      <c r="F7" s="1151"/>
      <c r="G7" s="1151"/>
      <c r="H7" s="1151"/>
      <c r="I7" s="743" t="s">
        <v>1182</v>
      </c>
      <c r="J7" s="743" t="s">
        <v>1181</v>
      </c>
      <c r="K7" s="743" t="s">
        <v>17</v>
      </c>
      <c r="L7" s="743" t="s">
        <v>1183</v>
      </c>
      <c r="M7" s="743" t="s">
        <v>1184</v>
      </c>
      <c r="N7" s="743" t="s">
        <v>17</v>
      </c>
      <c r="O7" s="1151"/>
    </row>
    <row r="8" spans="1:15" ht="20.25" customHeight="1">
      <c r="A8" s="798">
        <v>1</v>
      </c>
      <c r="B8" s="799" t="s">
        <v>912</v>
      </c>
      <c r="C8" s="792">
        <v>0</v>
      </c>
      <c r="D8" s="793">
        <v>0</v>
      </c>
      <c r="E8" s="793">
        <f>SUM(C8:D8)</f>
        <v>0</v>
      </c>
      <c r="F8" s="793">
        <v>51</v>
      </c>
      <c r="G8" s="794">
        <f>((C8*0.0001*51)+(D8*0.00015*51))</f>
        <v>0</v>
      </c>
      <c r="H8" s="794">
        <f>G8*0.03</f>
        <v>0</v>
      </c>
      <c r="I8" s="794">
        <f t="shared" ref="I8:I42" si="0">C8*51*2.98/100000</f>
        <v>0</v>
      </c>
      <c r="J8" s="794">
        <f t="shared" ref="J8:J42" si="1">C8*1.99*51/100000</f>
        <v>0</v>
      </c>
      <c r="K8" s="794">
        <f>SUM(I8:J8)</f>
        <v>0</v>
      </c>
      <c r="L8" s="794">
        <f t="shared" ref="L8:L42" si="2">D8*4.47*51/100000</f>
        <v>0</v>
      </c>
      <c r="M8" s="794">
        <f t="shared" ref="M8:M42" si="3">D8*2.98*51/100000</f>
        <v>0</v>
      </c>
      <c r="N8" s="794">
        <f>SUM(L8:M8)</f>
        <v>0</v>
      </c>
      <c r="O8" s="794">
        <f>G8*0.015</f>
        <v>0</v>
      </c>
    </row>
    <row r="9" spans="1:15" ht="20.25" customHeight="1">
      <c r="A9" s="798">
        <v>2</v>
      </c>
      <c r="B9" s="799" t="s">
        <v>913</v>
      </c>
      <c r="C9" s="792">
        <v>53875</v>
      </c>
      <c r="D9" s="793">
        <v>39395</v>
      </c>
      <c r="E9" s="793">
        <f t="shared" ref="E9:E42" si="4">SUM(C9:D9)</f>
        <v>93270</v>
      </c>
      <c r="F9" s="793">
        <v>51</v>
      </c>
      <c r="G9" s="794">
        <f t="shared" ref="G9:G42" si="5">((C9*0.0001*51)+(D9*0.00015*51))</f>
        <v>576.13424999999995</v>
      </c>
      <c r="H9" s="794">
        <f t="shared" ref="H9:H41" si="6">G9*0.03</f>
        <v>17.284027499999997</v>
      </c>
      <c r="I9" s="794">
        <f t="shared" si="0"/>
        <v>81.879225000000005</v>
      </c>
      <c r="J9" s="794">
        <f t="shared" si="1"/>
        <v>54.677737499999999</v>
      </c>
      <c r="K9" s="794">
        <f t="shared" ref="K9:K42" si="7">SUM(I9:J9)</f>
        <v>136.5569625</v>
      </c>
      <c r="L9" s="794">
        <f t="shared" si="2"/>
        <v>89.808781500000009</v>
      </c>
      <c r="M9" s="794">
        <f t="shared" si="3"/>
        <v>59.872521000000006</v>
      </c>
      <c r="N9" s="794">
        <f t="shared" ref="N9:N42" si="8">SUM(L9:M9)</f>
        <v>149.68130250000002</v>
      </c>
      <c r="O9" s="794">
        <f t="shared" ref="O9:O42" si="9">G9*0.015</f>
        <v>8.6420137499999985</v>
      </c>
    </row>
    <row r="10" spans="1:15" ht="20.25" customHeight="1">
      <c r="A10" s="798">
        <v>3</v>
      </c>
      <c r="B10" s="799" t="s">
        <v>914</v>
      </c>
      <c r="C10" s="792">
        <v>32903</v>
      </c>
      <c r="D10" s="793">
        <v>20873</v>
      </c>
      <c r="E10" s="793">
        <f t="shared" si="4"/>
        <v>53776</v>
      </c>
      <c r="F10" s="793">
        <v>51</v>
      </c>
      <c r="G10" s="794">
        <f t="shared" si="5"/>
        <v>327.48374999999999</v>
      </c>
      <c r="H10" s="794">
        <f t="shared" si="6"/>
        <v>9.8245124999999991</v>
      </c>
      <c r="I10" s="794">
        <f t="shared" si="0"/>
        <v>50.005979400000001</v>
      </c>
      <c r="J10" s="794">
        <f t="shared" si="1"/>
        <v>33.3932547</v>
      </c>
      <c r="K10" s="794">
        <f t="shared" si="7"/>
        <v>83.399234100000001</v>
      </c>
      <c r="L10" s="794">
        <f t="shared" si="2"/>
        <v>47.584178099999995</v>
      </c>
      <c r="M10" s="794">
        <f t="shared" si="3"/>
        <v>31.722785399999999</v>
      </c>
      <c r="N10" s="794">
        <f t="shared" si="8"/>
        <v>79.306963499999995</v>
      </c>
      <c r="O10" s="794">
        <f t="shared" si="9"/>
        <v>4.9122562499999995</v>
      </c>
    </row>
    <row r="11" spans="1:15" ht="20.25" customHeight="1">
      <c r="A11" s="798">
        <v>4</v>
      </c>
      <c r="B11" s="799" t="s">
        <v>915</v>
      </c>
      <c r="C11" s="792">
        <v>60323</v>
      </c>
      <c r="D11" s="793">
        <v>40814</v>
      </c>
      <c r="E11" s="793">
        <f t="shared" si="4"/>
        <v>101137</v>
      </c>
      <c r="F11" s="793">
        <v>51</v>
      </c>
      <c r="G11" s="794">
        <f t="shared" si="5"/>
        <v>619.87440000000004</v>
      </c>
      <c r="H11" s="794">
        <f t="shared" si="6"/>
        <v>18.596232000000001</v>
      </c>
      <c r="I11" s="794">
        <f t="shared" si="0"/>
        <v>91.678895399999988</v>
      </c>
      <c r="J11" s="794">
        <f t="shared" si="1"/>
        <v>61.221812700000008</v>
      </c>
      <c r="K11" s="794">
        <f t="shared" si="7"/>
        <v>152.9007081</v>
      </c>
      <c r="L11" s="794">
        <f t="shared" si="2"/>
        <v>93.043675800000003</v>
      </c>
      <c r="M11" s="794">
        <f t="shared" si="3"/>
        <v>62.029117199999995</v>
      </c>
      <c r="N11" s="794">
        <f t="shared" si="8"/>
        <v>155.07279299999999</v>
      </c>
      <c r="O11" s="794">
        <f t="shared" si="9"/>
        <v>9.2981160000000003</v>
      </c>
    </row>
    <row r="12" spans="1:15" ht="20.25" customHeight="1">
      <c r="A12" s="798">
        <v>5</v>
      </c>
      <c r="B12" s="799" t="s">
        <v>916</v>
      </c>
      <c r="C12" s="792">
        <v>76412</v>
      </c>
      <c r="D12" s="793">
        <v>48118</v>
      </c>
      <c r="E12" s="793">
        <f t="shared" si="4"/>
        <v>124530</v>
      </c>
      <c r="F12" s="793">
        <v>51</v>
      </c>
      <c r="G12" s="794">
        <f t="shared" si="5"/>
        <v>757.8039</v>
      </c>
      <c r="H12" s="794">
        <f t="shared" si="6"/>
        <v>22.734116999999998</v>
      </c>
      <c r="I12" s="794">
        <f t="shared" si="0"/>
        <v>116.1309576</v>
      </c>
      <c r="J12" s="794">
        <f t="shared" si="1"/>
        <v>77.550538799999998</v>
      </c>
      <c r="K12" s="794">
        <f t="shared" si="7"/>
        <v>193.68149640000001</v>
      </c>
      <c r="L12" s="794">
        <f t="shared" si="2"/>
        <v>109.69460459999999</v>
      </c>
      <c r="M12" s="794">
        <f t="shared" si="3"/>
        <v>73.129736399999999</v>
      </c>
      <c r="N12" s="794">
        <f t="shared" si="8"/>
        <v>182.824341</v>
      </c>
      <c r="O12" s="794">
        <f t="shared" si="9"/>
        <v>11.367058499999999</v>
      </c>
    </row>
    <row r="13" spans="1:15" ht="20.25" customHeight="1">
      <c r="A13" s="798">
        <v>6</v>
      </c>
      <c r="B13" s="799" t="s">
        <v>917</v>
      </c>
      <c r="C13" s="792">
        <v>8988</v>
      </c>
      <c r="D13" s="793">
        <v>6527</v>
      </c>
      <c r="E13" s="793">
        <f t="shared" si="4"/>
        <v>15515</v>
      </c>
      <c r="F13" s="793">
        <v>51</v>
      </c>
      <c r="G13" s="794">
        <f t="shared" si="5"/>
        <v>95.770349999999993</v>
      </c>
      <c r="H13" s="794">
        <f t="shared" si="6"/>
        <v>2.8731104999999997</v>
      </c>
      <c r="I13" s="794">
        <f t="shared" si="0"/>
        <v>13.6599624</v>
      </c>
      <c r="J13" s="794">
        <f t="shared" si="1"/>
        <v>9.1219211999999992</v>
      </c>
      <c r="K13" s="794">
        <f t="shared" si="7"/>
        <v>22.7818836</v>
      </c>
      <c r="L13" s="794">
        <f t="shared" si="2"/>
        <v>14.879601899999999</v>
      </c>
      <c r="M13" s="794">
        <f t="shared" si="3"/>
        <v>9.9197346</v>
      </c>
      <c r="N13" s="794">
        <f t="shared" si="8"/>
        <v>24.799336499999999</v>
      </c>
      <c r="O13" s="794">
        <f t="shared" si="9"/>
        <v>1.4365552499999998</v>
      </c>
    </row>
    <row r="14" spans="1:15" ht="20.25" customHeight="1">
      <c r="A14" s="798">
        <v>7</v>
      </c>
      <c r="B14" s="799" t="s">
        <v>918</v>
      </c>
      <c r="C14" s="792">
        <v>14209</v>
      </c>
      <c r="D14" s="793">
        <v>10545</v>
      </c>
      <c r="E14" s="793">
        <f t="shared" si="4"/>
        <v>24754</v>
      </c>
      <c r="F14" s="793">
        <v>51</v>
      </c>
      <c r="G14" s="794">
        <f t="shared" si="5"/>
        <v>153.13515000000001</v>
      </c>
      <c r="H14" s="794">
        <f t="shared" si="6"/>
        <v>4.5940545000000004</v>
      </c>
      <c r="I14" s="794">
        <f t="shared" si="0"/>
        <v>21.594838199999998</v>
      </c>
      <c r="J14" s="794">
        <f t="shared" si="1"/>
        <v>14.4207141</v>
      </c>
      <c r="K14" s="794">
        <f t="shared" si="7"/>
        <v>36.015552299999996</v>
      </c>
      <c r="L14" s="794">
        <f t="shared" si="2"/>
        <v>24.039436500000001</v>
      </c>
      <c r="M14" s="794">
        <f t="shared" si="3"/>
        <v>16.026290999999997</v>
      </c>
      <c r="N14" s="794">
        <f t="shared" si="8"/>
        <v>40.065727499999994</v>
      </c>
      <c r="O14" s="794">
        <f t="shared" si="9"/>
        <v>2.2970272500000002</v>
      </c>
    </row>
    <row r="15" spans="1:15" ht="20.25" customHeight="1">
      <c r="A15" s="798">
        <v>8</v>
      </c>
      <c r="B15" s="799" t="s">
        <v>919</v>
      </c>
      <c r="C15" s="792">
        <v>3996</v>
      </c>
      <c r="D15" s="793">
        <v>3830</v>
      </c>
      <c r="E15" s="793">
        <f t="shared" si="4"/>
        <v>7826</v>
      </c>
      <c r="F15" s="793">
        <v>51</v>
      </c>
      <c r="G15" s="794">
        <f t="shared" si="5"/>
        <v>49.679099999999991</v>
      </c>
      <c r="H15" s="794">
        <f t="shared" si="6"/>
        <v>1.4903729999999997</v>
      </c>
      <c r="I15" s="794">
        <f t="shared" si="0"/>
        <v>6.0731207999999999</v>
      </c>
      <c r="J15" s="794">
        <f t="shared" si="1"/>
        <v>4.0555403999999999</v>
      </c>
      <c r="K15" s="794">
        <f t="shared" si="7"/>
        <v>10.1286612</v>
      </c>
      <c r="L15" s="794">
        <f t="shared" si="2"/>
        <v>8.7312510000000003</v>
      </c>
      <c r="M15" s="794">
        <f t="shared" si="3"/>
        <v>5.8208340000000005</v>
      </c>
      <c r="N15" s="794">
        <f t="shared" si="8"/>
        <v>14.552085000000002</v>
      </c>
      <c r="O15" s="794">
        <f t="shared" si="9"/>
        <v>0.74518649999999986</v>
      </c>
    </row>
    <row r="16" spans="1:15" ht="20.25" customHeight="1">
      <c r="A16" s="798">
        <v>9</v>
      </c>
      <c r="B16" s="799" t="s">
        <v>920</v>
      </c>
      <c r="C16" s="792">
        <v>24068</v>
      </c>
      <c r="D16" s="793">
        <v>17292</v>
      </c>
      <c r="E16" s="793">
        <f t="shared" si="4"/>
        <v>41360</v>
      </c>
      <c r="F16" s="793">
        <v>51</v>
      </c>
      <c r="G16" s="794">
        <f t="shared" si="5"/>
        <v>255.03059999999999</v>
      </c>
      <c r="H16" s="794">
        <f t="shared" si="6"/>
        <v>7.6509179999999999</v>
      </c>
      <c r="I16" s="794">
        <f t="shared" si="0"/>
        <v>36.5785464</v>
      </c>
      <c r="J16" s="794">
        <f t="shared" si="1"/>
        <v>24.426613199999998</v>
      </c>
      <c r="K16" s="794">
        <f t="shared" si="7"/>
        <v>61.005159599999999</v>
      </c>
      <c r="L16" s="794">
        <f t="shared" si="2"/>
        <v>39.42057239999999</v>
      </c>
      <c r="M16" s="794">
        <f t="shared" si="3"/>
        <v>26.280381599999998</v>
      </c>
      <c r="N16" s="794">
        <f t="shared" si="8"/>
        <v>65.700953999999996</v>
      </c>
      <c r="O16" s="794">
        <f t="shared" si="9"/>
        <v>3.8254589999999999</v>
      </c>
    </row>
    <row r="17" spans="1:15" ht="20.25" customHeight="1">
      <c r="A17" s="798">
        <v>10</v>
      </c>
      <c r="B17" s="799" t="s">
        <v>921</v>
      </c>
      <c r="C17" s="792">
        <v>16396</v>
      </c>
      <c r="D17" s="793">
        <v>11241</v>
      </c>
      <c r="E17" s="793">
        <f t="shared" si="4"/>
        <v>27637</v>
      </c>
      <c r="F17" s="793">
        <v>51</v>
      </c>
      <c r="G17" s="794">
        <f t="shared" si="5"/>
        <v>169.61324999999999</v>
      </c>
      <c r="H17" s="794">
        <f t="shared" si="6"/>
        <v>5.0883974999999992</v>
      </c>
      <c r="I17" s="794">
        <f t="shared" si="0"/>
        <v>24.918640800000002</v>
      </c>
      <c r="J17" s="794">
        <f t="shared" si="1"/>
        <v>16.640300400000001</v>
      </c>
      <c r="K17" s="794">
        <f t="shared" si="7"/>
        <v>41.558941200000007</v>
      </c>
      <c r="L17" s="794">
        <f t="shared" si="2"/>
        <v>25.626107699999999</v>
      </c>
      <c r="M17" s="794">
        <f t="shared" si="3"/>
        <v>17.0840718</v>
      </c>
      <c r="N17" s="794">
        <f t="shared" si="8"/>
        <v>42.710179499999995</v>
      </c>
      <c r="O17" s="794">
        <f t="shared" si="9"/>
        <v>2.5441987499999996</v>
      </c>
    </row>
    <row r="18" spans="1:15" ht="20.25" customHeight="1">
      <c r="A18" s="798">
        <v>11</v>
      </c>
      <c r="B18" s="799" t="s">
        <v>922</v>
      </c>
      <c r="C18" s="792">
        <v>14425</v>
      </c>
      <c r="D18" s="793">
        <v>8834</v>
      </c>
      <c r="E18" s="793">
        <f t="shared" si="4"/>
        <v>23259</v>
      </c>
      <c r="F18" s="793">
        <v>51</v>
      </c>
      <c r="G18" s="794">
        <f t="shared" si="5"/>
        <v>141.14760000000001</v>
      </c>
      <c r="H18" s="794">
        <f t="shared" si="6"/>
        <v>4.2344280000000003</v>
      </c>
      <c r="I18" s="794">
        <f t="shared" si="0"/>
        <v>21.923114999999999</v>
      </c>
      <c r="J18" s="794">
        <f t="shared" si="1"/>
        <v>14.6399325</v>
      </c>
      <c r="K18" s="794">
        <f t="shared" si="7"/>
        <v>36.563047499999996</v>
      </c>
      <c r="L18" s="794">
        <f t="shared" si="2"/>
        <v>20.138869799999998</v>
      </c>
      <c r="M18" s="794">
        <f t="shared" si="3"/>
        <v>13.4259132</v>
      </c>
      <c r="N18" s="794">
        <f t="shared" si="8"/>
        <v>33.564782999999998</v>
      </c>
      <c r="O18" s="794">
        <f t="shared" si="9"/>
        <v>2.1172140000000002</v>
      </c>
    </row>
    <row r="19" spans="1:15" ht="20.25" customHeight="1">
      <c r="A19" s="798">
        <v>12</v>
      </c>
      <c r="B19" s="799" t="s">
        <v>923</v>
      </c>
      <c r="C19" s="792">
        <v>97183</v>
      </c>
      <c r="D19" s="793">
        <v>72365</v>
      </c>
      <c r="E19" s="793">
        <f t="shared" si="4"/>
        <v>169548</v>
      </c>
      <c r="F19" s="793">
        <v>51</v>
      </c>
      <c r="G19" s="794">
        <f t="shared" si="5"/>
        <v>1049.2255500000001</v>
      </c>
      <c r="H19" s="794">
        <f t="shared" si="6"/>
        <v>31.476766500000004</v>
      </c>
      <c r="I19" s="794">
        <f t="shared" si="0"/>
        <v>147.69872340000001</v>
      </c>
      <c r="J19" s="794">
        <f t="shared" si="1"/>
        <v>98.631026699999993</v>
      </c>
      <c r="K19" s="794">
        <f t="shared" si="7"/>
        <v>246.32975010000001</v>
      </c>
      <c r="L19" s="794">
        <f t="shared" si="2"/>
        <v>164.97049049999998</v>
      </c>
      <c r="M19" s="794">
        <f t="shared" si="3"/>
        <v>109.98032700000002</v>
      </c>
      <c r="N19" s="794">
        <f t="shared" si="8"/>
        <v>274.95081749999997</v>
      </c>
      <c r="O19" s="794">
        <f t="shared" si="9"/>
        <v>15.738383250000002</v>
      </c>
    </row>
    <row r="20" spans="1:15" ht="20.25" customHeight="1">
      <c r="A20" s="798">
        <v>13</v>
      </c>
      <c r="B20" s="799" t="s">
        <v>924</v>
      </c>
      <c r="C20" s="792">
        <v>52173</v>
      </c>
      <c r="D20" s="793">
        <v>36845</v>
      </c>
      <c r="E20" s="793">
        <f t="shared" si="4"/>
        <v>89018</v>
      </c>
      <c r="F20" s="793">
        <v>51</v>
      </c>
      <c r="G20" s="794">
        <f t="shared" si="5"/>
        <v>547.94654999999989</v>
      </c>
      <c r="H20" s="794">
        <f t="shared" si="6"/>
        <v>16.438396499999996</v>
      </c>
      <c r="I20" s="794">
        <f t="shared" si="0"/>
        <v>79.292525400000002</v>
      </c>
      <c r="J20" s="794">
        <f t="shared" si="1"/>
        <v>52.950377700000004</v>
      </c>
      <c r="K20" s="794">
        <f t="shared" si="7"/>
        <v>132.24290310000001</v>
      </c>
      <c r="L20" s="794">
        <f t="shared" si="2"/>
        <v>83.995546500000003</v>
      </c>
      <c r="M20" s="794">
        <f t="shared" si="3"/>
        <v>55.997031000000007</v>
      </c>
      <c r="N20" s="794">
        <f t="shared" si="8"/>
        <v>139.99257750000001</v>
      </c>
      <c r="O20" s="794">
        <f t="shared" si="9"/>
        <v>8.219198249999998</v>
      </c>
    </row>
    <row r="21" spans="1:15" ht="20.25" customHeight="1">
      <c r="A21" s="798">
        <v>14</v>
      </c>
      <c r="B21" s="799" t="s">
        <v>925</v>
      </c>
      <c r="C21" s="792">
        <v>24869</v>
      </c>
      <c r="D21" s="793">
        <v>17251</v>
      </c>
      <c r="E21" s="793">
        <f t="shared" si="4"/>
        <v>42120</v>
      </c>
      <c r="F21" s="793">
        <v>51</v>
      </c>
      <c r="G21" s="794">
        <f t="shared" si="5"/>
        <v>258.80205000000001</v>
      </c>
      <c r="H21" s="794">
        <f t="shared" si="6"/>
        <v>7.7640615000000004</v>
      </c>
      <c r="I21" s="794">
        <f t="shared" si="0"/>
        <v>37.795906200000005</v>
      </c>
      <c r="J21" s="794">
        <f t="shared" si="1"/>
        <v>25.2395481</v>
      </c>
      <c r="K21" s="794">
        <f t="shared" si="7"/>
        <v>63.035454300000005</v>
      </c>
      <c r="L21" s="794">
        <f t="shared" si="2"/>
        <v>39.3271047</v>
      </c>
      <c r="M21" s="794">
        <f t="shared" si="3"/>
        <v>26.218069799999999</v>
      </c>
      <c r="N21" s="794">
        <f t="shared" si="8"/>
        <v>65.545174500000002</v>
      </c>
      <c r="O21" s="794">
        <f t="shared" si="9"/>
        <v>3.8820307500000002</v>
      </c>
    </row>
    <row r="22" spans="1:15" ht="20.25" customHeight="1">
      <c r="A22" s="798">
        <v>15</v>
      </c>
      <c r="B22" s="799" t="s">
        <v>926</v>
      </c>
      <c r="C22" s="792">
        <v>14294</v>
      </c>
      <c r="D22" s="793">
        <v>10992</v>
      </c>
      <c r="E22" s="793">
        <f t="shared" si="4"/>
        <v>25286</v>
      </c>
      <c r="F22" s="793">
        <v>51</v>
      </c>
      <c r="G22" s="794">
        <f t="shared" si="5"/>
        <v>156.98820000000001</v>
      </c>
      <c r="H22" s="794">
        <f t="shared" si="6"/>
        <v>4.7096460000000002</v>
      </c>
      <c r="I22" s="794">
        <f t="shared" si="0"/>
        <v>21.724021200000003</v>
      </c>
      <c r="J22" s="794">
        <f t="shared" si="1"/>
        <v>14.5069806</v>
      </c>
      <c r="K22" s="794">
        <f t="shared" si="7"/>
        <v>36.231001800000001</v>
      </c>
      <c r="L22" s="794">
        <f t="shared" si="2"/>
        <v>25.058462399999996</v>
      </c>
      <c r="M22" s="794">
        <f t="shared" si="3"/>
        <v>16.7056416</v>
      </c>
      <c r="N22" s="794">
        <f t="shared" si="8"/>
        <v>41.764103999999996</v>
      </c>
      <c r="O22" s="794">
        <f t="shared" si="9"/>
        <v>2.3548230000000001</v>
      </c>
    </row>
    <row r="23" spans="1:15" ht="20.25" customHeight="1">
      <c r="A23" s="798">
        <v>16</v>
      </c>
      <c r="B23" s="799" t="s">
        <v>927</v>
      </c>
      <c r="C23" s="792">
        <v>54089</v>
      </c>
      <c r="D23" s="793">
        <v>37294</v>
      </c>
      <c r="E23" s="793">
        <f t="shared" si="4"/>
        <v>91383</v>
      </c>
      <c r="F23" s="793">
        <v>51</v>
      </c>
      <c r="G23" s="794">
        <f t="shared" si="5"/>
        <v>561.15300000000002</v>
      </c>
      <c r="H23" s="794">
        <f t="shared" si="6"/>
        <v>16.834589999999999</v>
      </c>
      <c r="I23" s="794">
        <f t="shared" si="0"/>
        <v>82.204462199999995</v>
      </c>
      <c r="J23" s="794">
        <f t="shared" si="1"/>
        <v>54.894926100000006</v>
      </c>
      <c r="K23" s="794">
        <f t="shared" si="7"/>
        <v>137.09938829999999</v>
      </c>
      <c r="L23" s="794">
        <f t="shared" si="2"/>
        <v>85.019131799999997</v>
      </c>
      <c r="M23" s="794">
        <f t="shared" si="3"/>
        <v>56.6794212</v>
      </c>
      <c r="N23" s="794">
        <f t="shared" si="8"/>
        <v>141.698553</v>
      </c>
      <c r="O23" s="794">
        <f t="shared" si="9"/>
        <v>8.4172949999999993</v>
      </c>
    </row>
    <row r="24" spans="1:15" ht="20.25" customHeight="1">
      <c r="A24" s="798">
        <v>17</v>
      </c>
      <c r="B24" s="799" t="s">
        <v>928</v>
      </c>
      <c r="C24" s="792">
        <v>38721</v>
      </c>
      <c r="D24" s="793">
        <v>25679</v>
      </c>
      <c r="E24" s="793">
        <f t="shared" si="4"/>
        <v>64400</v>
      </c>
      <c r="F24" s="793">
        <v>51</v>
      </c>
      <c r="G24" s="794">
        <f t="shared" si="5"/>
        <v>393.92144999999999</v>
      </c>
      <c r="H24" s="794">
        <f t="shared" si="6"/>
        <v>11.817643499999999</v>
      </c>
      <c r="I24" s="794">
        <f t="shared" si="0"/>
        <v>58.8481758</v>
      </c>
      <c r="J24" s="794">
        <f t="shared" si="1"/>
        <v>39.297942899999995</v>
      </c>
      <c r="K24" s="794">
        <f t="shared" si="7"/>
        <v>98.146118699999988</v>
      </c>
      <c r="L24" s="794">
        <f t="shared" si="2"/>
        <v>58.540416299999997</v>
      </c>
      <c r="M24" s="794">
        <f t="shared" si="3"/>
        <v>39.026944200000003</v>
      </c>
      <c r="N24" s="794">
        <f t="shared" si="8"/>
        <v>97.567360500000007</v>
      </c>
      <c r="O24" s="794">
        <f t="shared" si="9"/>
        <v>5.9088217499999995</v>
      </c>
    </row>
    <row r="25" spans="1:15" ht="20.25" customHeight="1">
      <c r="A25" s="798">
        <v>18</v>
      </c>
      <c r="B25" s="799" t="s">
        <v>929</v>
      </c>
      <c r="C25" s="792">
        <v>66262</v>
      </c>
      <c r="D25" s="793">
        <v>48055</v>
      </c>
      <c r="E25" s="793">
        <f t="shared" si="4"/>
        <v>114317</v>
      </c>
      <c r="F25" s="793">
        <v>51</v>
      </c>
      <c r="G25" s="794">
        <f t="shared" si="5"/>
        <v>705.55695000000003</v>
      </c>
      <c r="H25" s="794">
        <f t="shared" si="6"/>
        <v>21.166708499999999</v>
      </c>
      <c r="I25" s="794">
        <f t="shared" si="0"/>
        <v>100.7049876</v>
      </c>
      <c r="J25" s="794">
        <f t="shared" si="1"/>
        <v>67.249303799999993</v>
      </c>
      <c r="K25" s="794">
        <f t="shared" si="7"/>
        <v>167.95429139999999</v>
      </c>
      <c r="L25" s="794">
        <f t="shared" si="2"/>
        <v>109.5509835</v>
      </c>
      <c r="M25" s="794">
        <f t="shared" si="3"/>
        <v>73.033988999999991</v>
      </c>
      <c r="N25" s="794">
        <f t="shared" si="8"/>
        <v>182.58497249999999</v>
      </c>
      <c r="O25" s="794">
        <f t="shared" si="9"/>
        <v>10.583354249999999</v>
      </c>
    </row>
    <row r="26" spans="1:15" ht="20.25" customHeight="1">
      <c r="A26" s="798">
        <v>19</v>
      </c>
      <c r="B26" s="799" t="s">
        <v>930</v>
      </c>
      <c r="C26" s="792">
        <v>36543</v>
      </c>
      <c r="D26" s="793">
        <v>26208</v>
      </c>
      <c r="E26" s="793">
        <f t="shared" si="4"/>
        <v>62751</v>
      </c>
      <c r="F26" s="793">
        <v>51</v>
      </c>
      <c r="G26" s="794">
        <f t="shared" si="5"/>
        <v>386.8605</v>
      </c>
      <c r="H26" s="794">
        <f t="shared" si="6"/>
        <v>11.605815</v>
      </c>
      <c r="I26" s="794">
        <f t="shared" si="0"/>
        <v>55.538051399999993</v>
      </c>
      <c r="J26" s="794">
        <f t="shared" si="1"/>
        <v>37.087490699999996</v>
      </c>
      <c r="K26" s="794">
        <f t="shared" si="7"/>
        <v>92.62554209999999</v>
      </c>
      <c r="L26" s="794">
        <f t="shared" si="2"/>
        <v>59.746377599999995</v>
      </c>
      <c r="M26" s="794">
        <f t="shared" si="3"/>
        <v>39.830918400000002</v>
      </c>
      <c r="N26" s="794">
        <f t="shared" si="8"/>
        <v>99.57729599999999</v>
      </c>
      <c r="O26" s="794">
        <f t="shared" si="9"/>
        <v>5.8029074999999999</v>
      </c>
    </row>
    <row r="27" spans="1:15" ht="20.25" customHeight="1">
      <c r="A27" s="798">
        <v>20</v>
      </c>
      <c r="B27" s="799" t="s">
        <v>931</v>
      </c>
      <c r="C27" s="792">
        <v>94637</v>
      </c>
      <c r="D27" s="793">
        <v>63395</v>
      </c>
      <c r="E27" s="793">
        <f t="shared" si="4"/>
        <v>158032</v>
      </c>
      <c r="F27" s="793">
        <v>51</v>
      </c>
      <c r="G27" s="794">
        <f t="shared" si="5"/>
        <v>967.62045000000012</v>
      </c>
      <c r="H27" s="794">
        <f t="shared" si="6"/>
        <v>29.028613500000002</v>
      </c>
      <c r="I27" s="794">
        <f t="shared" si="0"/>
        <v>143.82931260000001</v>
      </c>
      <c r="J27" s="794">
        <f t="shared" si="1"/>
        <v>96.047091300000005</v>
      </c>
      <c r="K27" s="794">
        <f t="shared" si="7"/>
        <v>239.87640390000001</v>
      </c>
      <c r="L27" s="794">
        <f t="shared" si="2"/>
        <v>144.5215815</v>
      </c>
      <c r="M27" s="794">
        <f t="shared" si="3"/>
        <v>96.347720999999993</v>
      </c>
      <c r="N27" s="794">
        <f t="shared" si="8"/>
        <v>240.8693025</v>
      </c>
      <c r="O27" s="794">
        <f t="shared" si="9"/>
        <v>14.514306750000001</v>
      </c>
    </row>
    <row r="28" spans="1:15" ht="20.25" customHeight="1">
      <c r="A28" s="798">
        <v>21</v>
      </c>
      <c r="B28" s="799" t="s">
        <v>932</v>
      </c>
      <c r="C28" s="792">
        <v>28608</v>
      </c>
      <c r="D28" s="793">
        <v>20021</v>
      </c>
      <c r="E28" s="793">
        <f t="shared" si="4"/>
        <v>48629</v>
      </c>
      <c r="F28" s="793">
        <v>51</v>
      </c>
      <c r="G28" s="794">
        <f t="shared" si="5"/>
        <v>299.06144999999998</v>
      </c>
      <c r="H28" s="794">
        <f t="shared" si="6"/>
        <v>8.9718434999999985</v>
      </c>
      <c r="I28" s="794">
        <f t="shared" si="0"/>
        <v>43.478438400000002</v>
      </c>
      <c r="J28" s="794">
        <f t="shared" si="1"/>
        <v>29.034259199999997</v>
      </c>
      <c r="K28" s="794">
        <f t="shared" si="7"/>
        <v>72.512697599999996</v>
      </c>
      <c r="L28" s="794">
        <f t="shared" si="2"/>
        <v>45.641873699999998</v>
      </c>
      <c r="M28" s="794">
        <f t="shared" si="3"/>
        <v>30.427915800000001</v>
      </c>
      <c r="N28" s="794">
        <f t="shared" si="8"/>
        <v>76.069789499999999</v>
      </c>
      <c r="O28" s="794">
        <f t="shared" si="9"/>
        <v>4.4859217499999993</v>
      </c>
    </row>
    <row r="29" spans="1:15" ht="20.25" customHeight="1">
      <c r="A29" s="798">
        <v>22</v>
      </c>
      <c r="B29" s="799" t="s">
        <v>933</v>
      </c>
      <c r="C29" s="792">
        <v>44609</v>
      </c>
      <c r="D29" s="793">
        <v>26772</v>
      </c>
      <c r="E29" s="793">
        <f t="shared" si="4"/>
        <v>71381</v>
      </c>
      <c r="F29" s="793">
        <v>51</v>
      </c>
      <c r="G29" s="794">
        <f t="shared" si="5"/>
        <v>432.31169999999997</v>
      </c>
      <c r="H29" s="794">
        <f t="shared" si="6"/>
        <v>12.969350999999998</v>
      </c>
      <c r="I29" s="794">
        <f t="shared" si="0"/>
        <v>67.796758199999999</v>
      </c>
      <c r="J29" s="794">
        <f t="shared" si="1"/>
        <v>45.273674100000001</v>
      </c>
      <c r="K29" s="794">
        <f t="shared" si="7"/>
        <v>113.07043229999999</v>
      </c>
      <c r="L29" s="794">
        <f t="shared" si="2"/>
        <v>61.032128399999998</v>
      </c>
      <c r="M29" s="794">
        <f t="shared" si="3"/>
        <v>40.688085600000001</v>
      </c>
      <c r="N29" s="794">
        <f t="shared" si="8"/>
        <v>101.720214</v>
      </c>
      <c r="O29" s="794">
        <f t="shared" si="9"/>
        <v>6.4846754999999989</v>
      </c>
    </row>
    <row r="30" spans="1:15" ht="20.25" customHeight="1">
      <c r="A30" s="798">
        <v>23</v>
      </c>
      <c r="B30" s="799" t="s">
        <v>934</v>
      </c>
      <c r="C30" s="792">
        <v>99466</v>
      </c>
      <c r="D30" s="793">
        <v>59551</v>
      </c>
      <c r="E30" s="793">
        <f t="shared" si="4"/>
        <v>159017</v>
      </c>
      <c r="F30" s="793">
        <v>51</v>
      </c>
      <c r="G30" s="794">
        <f t="shared" si="5"/>
        <v>962.84175000000005</v>
      </c>
      <c r="H30" s="794">
        <f t="shared" si="6"/>
        <v>28.8852525</v>
      </c>
      <c r="I30" s="794">
        <f t="shared" si="0"/>
        <v>151.16842679999999</v>
      </c>
      <c r="J30" s="794">
        <f t="shared" si="1"/>
        <v>100.9480434</v>
      </c>
      <c r="K30" s="794">
        <f t="shared" si="7"/>
        <v>252.11647019999998</v>
      </c>
      <c r="L30" s="794">
        <f t="shared" si="2"/>
        <v>135.75841469999997</v>
      </c>
      <c r="M30" s="794">
        <f t="shared" si="3"/>
        <v>90.505609800000002</v>
      </c>
      <c r="N30" s="794">
        <f t="shared" si="8"/>
        <v>226.26402449999998</v>
      </c>
      <c r="O30" s="794">
        <f t="shared" si="9"/>
        <v>14.44262625</v>
      </c>
    </row>
    <row r="31" spans="1:15" ht="20.25" customHeight="1">
      <c r="A31" s="798">
        <v>24</v>
      </c>
      <c r="B31" s="799" t="s">
        <v>935</v>
      </c>
      <c r="C31" s="792">
        <v>60286</v>
      </c>
      <c r="D31" s="793">
        <v>36777</v>
      </c>
      <c r="E31" s="793">
        <f t="shared" si="4"/>
        <v>97063</v>
      </c>
      <c r="F31" s="793">
        <v>51</v>
      </c>
      <c r="G31" s="794">
        <f t="shared" si="5"/>
        <v>588.80264999999997</v>
      </c>
      <c r="H31" s="794">
        <f t="shared" si="6"/>
        <v>17.6640795</v>
      </c>
      <c r="I31" s="794">
        <f t="shared" si="0"/>
        <v>91.622662799999986</v>
      </c>
      <c r="J31" s="794">
        <f t="shared" si="1"/>
        <v>61.184261399999997</v>
      </c>
      <c r="K31" s="794">
        <f t="shared" si="7"/>
        <v>152.80692419999997</v>
      </c>
      <c r="L31" s="794">
        <f t="shared" si="2"/>
        <v>83.8405269</v>
      </c>
      <c r="M31" s="794">
        <f t="shared" si="3"/>
        <v>55.8936846</v>
      </c>
      <c r="N31" s="794">
        <f t="shared" si="8"/>
        <v>139.73421150000001</v>
      </c>
      <c r="O31" s="794">
        <f t="shared" si="9"/>
        <v>8.8320397499999999</v>
      </c>
    </row>
    <row r="32" spans="1:15" ht="20.25" customHeight="1">
      <c r="A32" s="798">
        <v>25</v>
      </c>
      <c r="B32" s="799" t="s">
        <v>936</v>
      </c>
      <c r="C32" s="792">
        <v>127588</v>
      </c>
      <c r="D32" s="793">
        <v>82390</v>
      </c>
      <c r="E32" s="793">
        <f t="shared" si="4"/>
        <v>209978</v>
      </c>
      <c r="F32" s="793">
        <v>51</v>
      </c>
      <c r="G32" s="794">
        <f t="shared" si="5"/>
        <v>1280.9823000000001</v>
      </c>
      <c r="H32" s="794">
        <f t="shared" si="6"/>
        <v>38.429469000000005</v>
      </c>
      <c r="I32" s="794">
        <f t="shared" si="0"/>
        <v>193.90824239999998</v>
      </c>
      <c r="J32" s="794">
        <f t="shared" si="1"/>
        <v>129.48906119999998</v>
      </c>
      <c r="K32" s="794">
        <f t="shared" si="7"/>
        <v>323.39730359999999</v>
      </c>
      <c r="L32" s="794">
        <f t="shared" si="2"/>
        <v>187.82448300000001</v>
      </c>
      <c r="M32" s="794">
        <f t="shared" si="3"/>
        <v>125.21632200000001</v>
      </c>
      <c r="N32" s="794">
        <f t="shared" si="8"/>
        <v>313.04080500000003</v>
      </c>
      <c r="O32" s="794">
        <f t="shared" si="9"/>
        <v>19.214734500000002</v>
      </c>
    </row>
    <row r="33" spans="1:15" ht="20.25" customHeight="1">
      <c r="A33" s="798">
        <v>26</v>
      </c>
      <c r="B33" s="799" t="s">
        <v>937</v>
      </c>
      <c r="C33" s="792">
        <v>149947</v>
      </c>
      <c r="D33" s="793">
        <v>94630</v>
      </c>
      <c r="E33" s="793">
        <f t="shared" si="4"/>
        <v>244577</v>
      </c>
      <c r="F33" s="793">
        <v>51</v>
      </c>
      <c r="G33" s="794">
        <f t="shared" si="5"/>
        <v>1488.6491999999998</v>
      </c>
      <c r="H33" s="794">
        <f t="shared" si="6"/>
        <v>44.659475999999991</v>
      </c>
      <c r="I33" s="794">
        <f t="shared" si="0"/>
        <v>227.88945059999998</v>
      </c>
      <c r="J33" s="794">
        <f t="shared" si="1"/>
        <v>152.1812103</v>
      </c>
      <c r="K33" s="794">
        <f t="shared" si="7"/>
        <v>380.07066090000001</v>
      </c>
      <c r="L33" s="794">
        <f t="shared" si="2"/>
        <v>215.72801099999998</v>
      </c>
      <c r="M33" s="794">
        <f t="shared" si="3"/>
        <v>143.81867400000002</v>
      </c>
      <c r="N33" s="794">
        <f t="shared" si="8"/>
        <v>359.54668500000002</v>
      </c>
      <c r="O33" s="794">
        <f t="shared" si="9"/>
        <v>22.329737999999995</v>
      </c>
    </row>
    <row r="34" spans="1:15" ht="20.25" customHeight="1">
      <c r="A34" s="798">
        <v>27</v>
      </c>
      <c r="B34" s="799" t="s">
        <v>938</v>
      </c>
      <c r="C34" s="792">
        <v>62158</v>
      </c>
      <c r="D34" s="793">
        <v>40443</v>
      </c>
      <c r="E34" s="793">
        <f t="shared" si="4"/>
        <v>102601</v>
      </c>
      <c r="F34" s="793">
        <v>51</v>
      </c>
      <c r="G34" s="794">
        <f t="shared" si="5"/>
        <v>626.39474999999993</v>
      </c>
      <c r="H34" s="794">
        <f t="shared" si="6"/>
        <v>18.791842499999998</v>
      </c>
      <c r="I34" s="794">
        <f t="shared" si="0"/>
        <v>94.467728399999999</v>
      </c>
      <c r="J34" s="794">
        <f t="shared" si="1"/>
        <v>63.0841542</v>
      </c>
      <c r="K34" s="794">
        <f t="shared" si="7"/>
        <v>157.5518826</v>
      </c>
      <c r="L34" s="794">
        <f t="shared" si="2"/>
        <v>92.197907099999995</v>
      </c>
      <c r="M34" s="794">
        <f t="shared" si="3"/>
        <v>61.465271399999999</v>
      </c>
      <c r="N34" s="794">
        <f t="shared" si="8"/>
        <v>153.66317849999999</v>
      </c>
      <c r="O34" s="794">
        <f t="shared" si="9"/>
        <v>9.3959212499999989</v>
      </c>
    </row>
    <row r="35" spans="1:15" ht="20.25" customHeight="1">
      <c r="A35" s="798">
        <v>28</v>
      </c>
      <c r="B35" s="799" t="s">
        <v>939</v>
      </c>
      <c r="C35" s="792">
        <v>22688</v>
      </c>
      <c r="D35" s="793">
        <v>13285</v>
      </c>
      <c r="E35" s="793">
        <f t="shared" si="4"/>
        <v>35973</v>
      </c>
      <c r="F35" s="793">
        <v>51</v>
      </c>
      <c r="G35" s="794">
        <f t="shared" si="5"/>
        <v>217.33904999999999</v>
      </c>
      <c r="H35" s="794">
        <f t="shared" si="6"/>
        <v>6.5201714999999991</v>
      </c>
      <c r="I35" s="794">
        <f t="shared" si="0"/>
        <v>34.4812224</v>
      </c>
      <c r="J35" s="794">
        <f t="shared" si="1"/>
        <v>23.026051200000001</v>
      </c>
      <c r="K35" s="794">
        <f t="shared" si="7"/>
        <v>57.507273600000005</v>
      </c>
      <c r="L35" s="794">
        <f t="shared" si="2"/>
        <v>30.285814499999997</v>
      </c>
      <c r="M35" s="794">
        <f t="shared" si="3"/>
        <v>20.190543000000002</v>
      </c>
      <c r="N35" s="794">
        <f t="shared" si="8"/>
        <v>50.476357499999999</v>
      </c>
      <c r="O35" s="794">
        <f t="shared" si="9"/>
        <v>3.2600857499999996</v>
      </c>
    </row>
    <row r="36" spans="1:15" ht="20.25" customHeight="1">
      <c r="A36" s="798">
        <v>29</v>
      </c>
      <c r="B36" s="799" t="s">
        <v>940</v>
      </c>
      <c r="C36" s="792">
        <v>93003</v>
      </c>
      <c r="D36" s="793">
        <v>58280</v>
      </c>
      <c r="E36" s="793">
        <f t="shared" si="4"/>
        <v>151283</v>
      </c>
      <c r="F36" s="793">
        <v>51</v>
      </c>
      <c r="G36" s="794">
        <f t="shared" si="5"/>
        <v>920.15729999999985</v>
      </c>
      <c r="H36" s="794">
        <f t="shared" si="6"/>
        <v>27.604718999999996</v>
      </c>
      <c r="I36" s="794">
        <f t="shared" si="0"/>
        <v>141.3459594</v>
      </c>
      <c r="J36" s="794">
        <f t="shared" si="1"/>
        <v>94.388744700000004</v>
      </c>
      <c r="K36" s="794">
        <f t="shared" si="7"/>
        <v>235.73470409999999</v>
      </c>
      <c r="L36" s="794">
        <f t="shared" si="2"/>
        <v>132.860916</v>
      </c>
      <c r="M36" s="794">
        <f t="shared" si="3"/>
        <v>88.573943999999997</v>
      </c>
      <c r="N36" s="794">
        <f t="shared" si="8"/>
        <v>221.43486000000001</v>
      </c>
      <c r="O36" s="794">
        <f t="shared" si="9"/>
        <v>13.802359499999998</v>
      </c>
    </row>
    <row r="37" spans="1:15" ht="20.25" customHeight="1">
      <c r="A37" s="798">
        <v>30</v>
      </c>
      <c r="B37" s="799" t="s">
        <v>941</v>
      </c>
      <c r="C37" s="792">
        <v>71096</v>
      </c>
      <c r="D37" s="793">
        <v>41734</v>
      </c>
      <c r="E37" s="793">
        <f t="shared" si="4"/>
        <v>112830</v>
      </c>
      <c r="F37" s="793">
        <v>51</v>
      </c>
      <c r="G37" s="794">
        <f t="shared" si="5"/>
        <v>681.85469999999998</v>
      </c>
      <c r="H37" s="794">
        <f t="shared" si="6"/>
        <v>20.455641</v>
      </c>
      <c r="I37" s="794">
        <f t="shared" si="0"/>
        <v>108.05170080000001</v>
      </c>
      <c r="J37" s="794">
        <f t="shared" si="1"/>
        <v>72.155330399999997</v>
      </c>
      <c r="K37" s="794">
        <f t="shared" si="7"/>
        <v>180.20703120000002</v>
      </c>
      <c r="L37" s="794">
        <f t="shared" si="2"/>
        <v>95.140999799999989</v>
      </c>
      <c r="M37" s="794">
        <f t="shared" si="3"/>
        <v>63.427333199999993</v>
      </c>
      <c r="N37" s="794">
        <f t="shared" si="8"/>
        <v>158.568333</v>
      </c>
      <c r="O37" s="794">
        <f t="shared" si="9"/>
        <v>10.2278205</v>
      </c>
    </row>
    <row r="38" spans="1:15" ht="20.25" customHeight="1">
      <c r="A38" s="798">
        <v>31</v>
      </c>
      <c r="B38" s="799" t="s">
        <v>942</v>
      </c>
      <c r="C38" s="792">
        <v>106604</v>
      </c>
      <c r="D38" s="793">
        <v>64601</v>
      </c>
      <c r="E38" s="793">
        <f t="shared" si="4"/>
        <v>171205</v>
      </c>
      <c r="F38" s="793">
        <v>51</v>
      </c>
      <c r="G38" s="794">
        <f t="shared" si="5"/>
        <v>1037.87805</v>
      </c>
      <c r="H38" s="794">
        <f t="shared" si="6"/>
        <v>31.1363415</v>
      </c>
      <c r="I38" s="794">
        <f t="shared" si="0"/>
        <v>162.0167592</v>
      </c>
      <c r="J38" s="794">
        <f t="shared" si="1"/>
        <v>108.19239959999999</v>
      </c>
      <c r="K38" s="794">
        <f t="shared" si="7"/>
        <v>270.20915879999995</v>
      </c>
      <c r="L38" s="794">
        <f t="shared" si="2"/>
        <v>147.2708997</v>
      </c>
      <c r="M38" s="794">
        <f t="shared" si="3"/>
        <v>98.18059980000001</v>
      </c>
      <c r="N38" s="794">
        <f t="shared" si="8"/>
        <v>245.45149950000001</v>
      </c>
      <c r="O38" s="794">
        <f t="shared" si="9"/>
        <v>15.56817075</v>
      </c>
    </row>
    <row r="39" spans="1:15" ht="20.25" customHeight="1">
      <c r="A39" s="798">
        <v>32</v>
      </c>
      <c r="B39" s="799" t="s">
        <v>943</v>
      </c>
      <c r="C39" s="792">
        <v>77076</v>
      </c>
      <c r="D39" s="793">
        <v>44781</v>
      </c>
      <c r="E39" s="793">
        <f t="shared" si="4"/>
        <v>121857</v>
      </c>
      <c r="F39" s="793">
        <v>51</v>
      </c>
      <c r="G39" s="794">
        <f t="shared" si="5"/>
        <v>735.66224999999997</v>
      </c>
      <c r="H39" s="794">
        <f t="shared" si="6"/>
        <v>22.069867499999997</v>
      </c>
      <c r="I39" s="794">
        <f t="shared" si="0"/>
        <v>117.1401048</v>
      </c>
      <c r="J39" s="794">
        <f t="shared" si="1"/>
        <v>78.224432399999998</v>
      </c>
      <c r="K39" s="794">
        <f t="shared" si="7"/>
        <v>195.3645372</v>
      </c>
      <c r="L39" s="794">
        <f t="shared" si="2"/>
        <v>102.08724569999998</v>
      </c>
      <c r="M39" s="794">
        <f t="shared" si="3"/>
        <v>68.058163800000003</v>
      </c>
      <c r="N39" s="794">
        <f t="shared" si="8"/>
        <v>170.14540949999997</v>
      </c>
      <c r="O39" s="794">
        <f t="shared" si="9"/>
        <v>11.034933749999999</v>
      </c>
    </row>
    <row r="40" spans="1:15" ht="20.25" customHeight="1">
      <c r="A40" s="798">
        <v>33</v>
      </c>
      <c r="B40" s="799" t="s">
        <v>944</v>
      </c>
      <c r="C40" s="792">
        <v>60793</v>
      </c>
      <c r="D40" s="793">
        <v>31252</v>
      </c>
      <c r="E40" s="793">
        <f t="shared" si="4"/>
        <v>92045</v>
      </c>
      <c r="F40" s="793">
        <v>51</v>
      </c>
      <c r="G40" s="794">
        <f t="shared" si="5"/>
        <v>549.12210000000005</v>
      </c>
      <c r="H40" s="794">
        <f t="shared" si="6"/>
        <v>16.473663000000002</v>
      </c>
      <c r="I40" s="794">
        <f t="shared" si="0"/>
        <v>92.393201400000009</v>
      </c>
      <c r="J40" s="794">
        <f t="shared" si="1"/>
        <v>61.69881569999999</v>
      </c>
      <c r="K40" s="794">
        <f t="shared" si="7"/>
        <v>154.09201709999999</v>
      </c>
      <c r="L40" s="794">
        <f t="shared" si="2"/>
        <v>71.245184399999999</v>
      </c>
      <c r="M40" s="794">
        <f t="shared" si="3"/>
        <v>47.4967896</v>
      </c>
      <c r="N40" s="794">
        <f t="shared" si="8"/>
        <v>118.741974</v>
      </c>
      <c r="O40" s="794">
        <f t="shared" si="9"/>
        <v>8.236831500000001</v>
      </c>
    </row>
    <row r="41" spans="1:15" ht="20.25" customHeight="1">
      <c r="A41" s="798">
        <v>34</v>
      </c>
      <c r="B41" s="799" t="s">
        <v>945</v>
      </c>
      <c r="C41" s="792">
        <v>69205</v>
      </c>
      <c r="D41" s="793">
        <v>36964</v>
      </c>
      <c r="E41" s="793">
        <f t="shared" si="4"/>
        <v>106169</v>
      </c>
      <c r="F41" s="793">
        <v>51</v>
      </c>
      <c r="G41" s="794">
        <f t="shared" si="5"/>
        <v>635.7201</v>
      </c>
      <c r="H41" s="794">
        <f t="shared" si="6"/>
        <v>19.071603</v>
      </c>
      <c r="I41" s="794">
        <f t="shared" si="0"/>
        <v>105.17775900000001</v>
      </c>
      <c r="J41" s="794">
        <f t="shared" si="1"/>
        <v>70.236154499999998</v>
      </c>
      <c r="K41" s="794">
        <f t="shared" si="7"/>
        <v>175.41391350000001</v>
      </c>
      <c r="L41" s="794">
        <f t="shared" si="2"/>
        <v>84.266830799999994</v>
      </c>
      <c r="M41" s="794">
        <f t="shared" si="3"/>
        <v>56.177887200000001</v>
      </c>
      <c r="N41" s="794">
        <f t="shared" si="8"/>
        <v>140.44471799999999</v>
      </c>
      <c r="O41" s="794">
        <f t="shared" si="9"/>
        <v>9.5358014999999998</v>
      </c>
    </row>
    <row r="42" spans="1:15" ht="20.25" customHeight="1">
      <c r="A42" s="800" t="s">
        <v>17</v>
      </c>
      <c r="B42" s="795"/>
      <c r="C42" s="795">
        <f>SUM(C8:C41)</f>
        <v>1857493</v>
      </c>
      <c r="D42" s="796">
        <f>SUM(D8:D41)</f>
        <v>1197034</v>
      </c>
      <c r="E42" s="796">
        <f t="shared" si="4"/>
        <v>3054527</v>
      </c>
      <c r="F42" s="796">
        <v>51</v>
      </c>
      <c r="G42" s="794">
        <f t="shared" si="5"/>
        <v>18630.524399999998</v>
      </c>
      <c r="H42" s="797">
        <f>SUM(H8:H41)</f>
        <v>558.91573199999993</v>
      </c>
      <c r="I42" s="797">
        <f t="shared" si="0"/>
        <v>2823.0178613999997</v>
      </c>
      <c r="J42" s="797">
        <f t="shared" si="1"/>
        <v>1885.1696456999998</v>
      </c>
      <c r="K42" s="797">
        <f t="shared" si="7"/>
        <v>4708.1875070999995</v>
      </c>
      <c r="L42" s="797">
        <f t="shared" si="2"/>
        <v>2728.8784097999996</v>
      </c>
      <c r="M42" s="797">
        <f t="shared" si="3"/>
        <v>1819.2522732</v>
      </c>
      <c r="N42" s="797">
        <f t="shared" si="8"/>
        <v>4548.1306829999994</v>
      </c>
      <c r="O42" s="797">
        <f t="shared" si="9"/>
        <v>279.45786599999997</v>
      </c>
    </row>
    <row r="43" spans="1:15" ht="15" customHeight="1">
      <c r="A43" s="96"/>
      <c r="B43" s="121"/>
      <c r="C43" s="121"/>
      <c r="D43" s="745"/>
      <c r="E43" s="745"/>
      <c r="F43" s="745"/>
      <c r="G43" s="746"/>
      <c r="H43" s="746"/>
      <c r="I43" s="746"/>
      <c r="J43" s="746"/>
      <c r="K43" s="746"/>
      <c r="L43" s="746"/>
      <c r="M43" s="746"/>
      <c r="N43" s="746"/>
    </row>
    <row r="44" spans="1:15" ht="15" customHeight="1">
      <c r="A44" s="96"/>
      <c r="B44" s="121"/>
      <c r="C44" s="121"/>
      <c r="D44" s="121"/>
      <c r="E44" s="745"/>
      <c r="F44" s="745"/>
      <c r="G44" s="746"/>
      <c r="H44" s="746"/>
      <c r="I44" s="746"/>
      <c r="J44" s="746"/>
      <c r="K44" s="746"/>
      <c r="L44" s="746"/>
      <c r="M44" s="746"/>
      <c r="N44" s="746"/>
      <c r="O44" s="744"/>
    </row>
    <row r="46" spans="1:15" s="761" customFormat="1" ht="15">
      <c r="A46" s="278"/>
      <c r="B46" s="278"/>
      <c r="C46" s="278"/>
      <c r="D46" s="278"/>
      <c r="E46" s="278"/>
      <c r="F46" s="278"/>
      <c r="G46" s="1136" t="s">
        <v>12</v>
      </c>
      <c r="H46" s="1136"/>
      <c r="I46" s="1136"/>
      <c r="J46" s="1136"/>
      <c r="K46" s="1136"/>
      <c r="L46" s="1136"/>
      <c r="M46" s="1136"/>
      <c r="N46" s="1136"/>
      <c r="O46" s="1136"/>
    </row>
    <row r="47" spans="1:15" s="761" customFormat="1" ht="15.75" customHeight="1">
      <c r="E47" s="1133" t="s">
        <v>906</v>
      </c>
      <c r="F47" s="1133"/>
      <c r="G47" s="1136" t="s">
        <v>13</v>
      </c>
      <c r="H47" s="1136"/>
      <c r="I47" s="1136"/>
      <c r="J47" s="1136"/>
      <c r="K47" s="1136"/>
      <c r="L47" s="1136"/>
      <c r="M47" s="1136"/>
      <c r="N47" s="1136"/>
      <c r="O47" s="1136"/>
    </row>
    <row r="48" spans="1:15" s="761" customFormat="1" ht="12.75" customHeight="1">
      <c r="E48" s="1148" t="s">
        <v>907</v>
      </c>
      <c r="F48" s="1148"/>
      <c r="G48" s="1136" t="s">
        <v>18</v>
      </c>
      <c r="H48" s="1136"/>
      <c r="I48" s="1136"/>
      <c r="J48" s="1136"/>
      <c r="K48" s="1136"/>
      <c r="L48" s="1136"/>
      <c r="M48" s="1136"/>
      <c r="N48" s="1136"/>
      <c r="O48" s="1136"/>
    </row>
    <row r="49" spans="1:15" s="761" customFormat="1" ht="12.75" customHeight="1">
      <c r="E49" s="1148" t="s">
        <v>908</v>
      </c>
      <c r="F49" s="1148"/>
      <c r="G49" s="801" t="s">
        <v>84</v>
      </c>
      <c r="H49" s="801"/>
      <c r="I49" s="801"/>
      <c r="J49" s="801"/>
      <c r="K49" s="801"/>
      <c r="L49" s="801"/>
      <c r="M49" s="801"/>
      <c r="N49" s="801"/>
      <c r="O49" s="801"/>
    </row>
    <row r="50" spans="1:15" s="761" customFormat="1" ht="15">
      <c r="A50" s="440" t="s">
        <v>11</v>
      </c>
      <c r="B50" s="290"/>
      <c r="C50" s="290"/>
      <c r="D50" s="443"/>
      <c r="E50" s="443"/>
      <c r="F50" s="440"/>
      <c r="G50" s="440"/>
      <c r="H50" s="440"/>
      <c r="I50" s="440"/>
      <c r="J50" s="440"/>
      <c r="K50" s="440"/>
      <c r="L50" s="440"/>
      <c r="M50" s="440"/>
      <c r="N50" s="440"/>
      <c r="O50" s="268"/>
    </row>
  </sheetData>
  <mergeCells count="22">
    <mergeCell ref="A2:O2"/>
    <mergeCell ref="A3:O3"/>
    <mergeCell ref="A4:O4"/>
    <mergeCell ref="A5:B5"/>
    <mergeCell ref="A6:A7"/>
    <mergeCell ref="B6:B7"/>
    <mergeCell ref="D6:D7"/>
    <mergeCell ref="F6:F7"/>
    <mergeCell ref="L6:N6"/>
    <mergeCell ref="O6:O7"/>
    <mergeCell ref="E49:F49"/>
    <mergeCell ref="G49:O49"/>
    <mergeCell ref="C6:C7"/>
    <mergeCell ref="E6:E7"/>
    <mergeCell ref="I6:K6"/>
    <mergeCell ref="G46:O46"/>
    <mergeCell ref="E47:F47"/>
    <mergeCell ref="G47:O47"/>
    <mergeCell ref="E48:F48"/>
    <mergeCell ref="G48:O48"/>
    <mergeCell ref="G6:G7"/>
    <mergeCell ref="H6:H7"/>
  </mergeCells>
  <printOptions horizontalCentered="1"/>
  <pageMargins left="0.70866141732283472" right="0.70866141732283472" top="0.23622047244094491" bottom="0" header="0.31496062992125984" footer="0.31496062992125984"/>
  <pageSetup paperSize="9" scale="56" orientation="landscape" r:id="rId1"/>
</worksheet>
</file>

<file path=xl/worksheets/sheet61.xml><?xml version="1.0" encoding="utf-8"?>
<worksheet xmlns="http://schemas.openxmlformats.org/spreadsheetml/2006/main" xmlns:r="http://schemas.openxmlformats.org/officeDocument/2006/relationships">
  <sheetPr codeName="Sheet61">
    <pageSetUpPr fitToPage="1"/>
  </sheetPr>
  <dimension ref="A1:T52"/>
  <sheetViews>
    <sheetView view="pageBreakPreview" topLeftCell="A22" zoomScaleSheetLayoutView="100" workbookViewId="0">
      <selection activeCell="C11" sqref="C11:C44"/>
    </sheetView>
  </sheetViews>
  <sheetFormatPr defaultRowHeight="12.75"/>
  <cols>
    <col min="1" max="1" width="5.5703125" style="268" customWidth="1"/>
    <col min="2" max="2" width="18.140625" style="268" customWidth="1"/>
    <col min="3" max="3" width="10.28515625" style="268" customWidth="1"/>
    <col min="4" max="4" width="12.85546875" style="268" customWidth="1"/>
    <col min="5" max="5" width="8.7109375" style="255" customWidth="1"/>
    <col min="6" max="7" width="8" style="255" customWidth="1"/>
    <col min="8" max="10" width="8.140625" style="255" customWidth="1"/>
    <col min="11" max="11" width="8.42578125" style="255" customWidth="1"/>
    <col min="12" max="12" width="8.140625" style="255" customWidth="1"/>
    <col min="13" max="13" width="8.85546875" style="255" customWidth="1"/>
    <col min="14" max="14" width="8.140625" style="255" customWidth="1"/>
    <col min="15" max="15" width="9.140625" style="268"/>
    <col min="16" max="16" width="12.42578125" style="268" customWidth="1"/>
    <col min="17" max="16384" width="9.140625" style="255"/>
  </cols>
  <sheetData>
    <row r="1" spans="1:16" ht="12.75" customHeight="1">
      <c r="D1" s="1133"/>
      <c r="E1" s="1133"/>
      <c r="F1" s="268"/>
      <c r="G1" s="268"/>
      <c r="H1" s="268"/>
      <c r="I1" s="268"/>
      <c r="J1" s="268"/>
      <c r="K1" s="268"/>
      <c r="L1" s="268"/>
      <c r="M1" s="1135" t="s">
        <v>538</v>
      </c>
      <c r="N1" s="1135"/>
    </row>
    <row r="2" spans="1:16" ht="15.75">
      <c r="A2" s="1138" t="s">
        <v>0</v>
      </c>
      <c r="B2" s="1138"/>
      <c r="C2" s="1138"/>
      <c r="D2" s="1138"/>
      <c r="E2" s="1138"/>
      <c r="F2" s="1138"/>
      <c r="G2" s="1138"/>
      <c r="H2" s="1138"/>
      <c r="I2" s="1138"/>
      <c r="J2" s="1138"/>
      <c r="K2" s="1138"/>
      <c r="L2" s="1138"/>
      <c r="M2" s="1138"/>
      <c r="N2" s="1138"/>
    </row>
    <row r="3" spans="1:16" ht="18">
      <c r="A3" s="1139" t="s">
        <v>745</v>
      </c>
      <c r="B3" s="1139"/>
      <c r="C3" s="1139"/>
      <c r="D3" s="1139"/>
      <c r="E3" s="1139"/>
      <c r="F3" s="1139"/>
      <c r="G3" s="1139"/>
      <c r="H3" s="1139"/>
      <c r="I3" s="1139"/>
      <c r="J3" s="1139"/>
      <c r="K3" s="1139"/>
      <c r="L3" s="1139"/>
      <c r="M3" s="1139"/>
      <c r="N3" s="1139"/>
    </row>
    <row r="4" spans="1:16" ht="12.75" customHeight="1">
      <c r="A4" s="1137" t="s">
        <v>755</v>
      </c>
      <c r="B4" s="1137"/>
      <c r="C4" s="1137"/>
      <c r="D4" s="1137"/>
      <c r="E4" s="1137"/>
      <c r="F4" s="1137"/>
      <c r="G4" s="1137"/>
      <c r="H4" s="1137"/>
      <c r="I4" s="1137"/>
      <c r="J4" s="1137"/>
      <c r="K4" s="1137"/>
      <c r="L4" s="1137"/>
      <c r="M4" s="1137"/>
      <c r="N4" s="1137"/>
    </row>
    <row r="5" spans="1:16" s="256" customFormat="1" ht="7.5" customHeight="1">
      <c r="A5" s="1137"/>
      <c r="B5" s="1137"/>
      <c r="C5" s="1137"/>
      <c r="D5" s="1137"/>
      <c r="E5" s="1137"/>
      <c r="F5" s="1137"/>
      <c r="G5" s="1137"/>
      <c r="H5" s="1137"/>
      <c r="I5" s="1137"/>
      <c r="J5" s="1137"/>
      <c r="K5" s="1137"/>
      <c r="L5" s="1137"/>
      <c r="M5" s="1137"/>
      <c r="N5" s="1137"/>
      <c r="O5" s="323"/>
      <c r="P5" s="323"/>
    </row>
    <row r="6" spans="1:16">
      <c r="A6" s="1134"/>
      <c r="B6" s="1134"/>
      <c r="C6" s="1134"/>
      <c r="D6" s="1134"/>
      <c r="E6" s="1134"/>
      <c r="F6" s="1134"/>
      <c r="G6" s="1134"/>
      <c r="H6" s="1134"/>
      <c r="I6" s="1134"/>
      <c r="J6" s="1134"/>
      <c r="K6" s="1134"/>
      <c r="L6" s="1134"/>
      <c r="M6" s="1134"/>
      <c r="N6" s="1134"/>
    </row>
    <row r="7" spans="1:16">
      <c r="A7" s="1144" t="s">
        <v>911</v>
      </c>
      <c r="B7" s="1144"/>
      <c r="D7" s="301"/>
      <c r="E7" s="268"/>
      <c r="F7" s="268"/>
      <c r="G7" s="268"/>
      <c r="H7" s="1140"/>
      <c r="I7" s="1140"/>
      <c r="J7" s="1140"/>
      <c r="K7" s="1140"/>
      <c r="L7" s="1140"/>
      <c r="M7" s="1140"/>
      <c r="N7" s="1140"/>
    </row>
    <row r="8" spans="1:16" ht="39" customHeight="1">
      <c r="A8" s="1027" t="s">
        <v>2</v>
      </c>
      <c r="B8" s="1027" t="s">
        <v>3</v>
      </c>
      <c r="C8" s="1157" t="s">
        <v>489</v>
      </c>
      <c r="D8" s="1145" t="s">
        <v>85</v>
      </c>
      <c r="E8" s="1141" t="s">
        <v>86</v>
      </c>
      <c r="F8" s="1142"/>
      <c r="G8" s="1142"/>
      <c r="H8" s="1143"/>
      <c r="I8" s="1027" t="s">
        <v>653</v>
      </c>
      <c r="J8" s="1027"/>
      <c r="K8" s="1027"/>
      <c r="L8" s="1027"/>
      <c r="M8" s="1027"/>
      <c r="N8" s="1027"/>
      <c r="O8" s="1147" t="s">
        <v>708</v>
      </c>
      <c r="P8" s="1147"/>
    </row>
    <row r="9" spans="1:16" ht="44.45" customHeight="1">
      <c r="A9" s="1027"/>
      <c r="B9" s="1027"/>
      <c r="C9" s="1158"/>
      <c r="D9" s="1146"/>
      <c r="E9" s="315" t="s">
        <v>91</v>
      </c>
      <c r="F9" s="764" t="s">
        <v>1209</v>
      </c>
      <c r="G9" s="764" t="s">
        <v>1210</v>
      </c>
      <c r="H9" s="315" t="s">
        <v>687</v>
      </c>
      <c r="I9" s="321" t="s">
        <v>17</v>
      </c>
      <c r="J9" s="321" t="s">
        <v>959</v>
      </c>
      <c r="K9" s="321" t="s">
        <v>654</v>
      </c>
      <c r="L9" s="321" t="s">
        <v>655</v>
      </c>
      <c r="M9" s="321" t="s">
        <v>656</v>
      </c>
      <c r="N9" s="321" t="s">
        <v>657</v>
      </c>
      <c r="O9" s="334" t="s">
        <v>713</v>
      </c>
      <c r="P9" s="334" t="s">
        <v>711</v>
      </c>
    </row>
    <row r="10" spans="1:16" s="330" customFormat="1">
      <c r="A10" s="328">
        <v>1</v>
      </c>
      <c r="B10" s="328">
        <v>2</v>
      </c>
      <c r="C10" s="328">
        <v>3</v>
      </c>
      <c r="D10" s="328">
        <v>4</v>
      </c>
      <c r="E10" s="328">
        <v>5</v>
      </c>
      <c r="F10" s="328">
        <v>6</v>
      </c>
      <c r="G10" s="328">
        <v>7</v>
      </c>
      <c r="H10" s="328">
        <v>8</v>
      </c>
      <c r="I10" s="328">
        <v>9</v>
      </c>
      <c r="J10" s="328">
        <v>10</v>
      </c>
      <c r="K10" s="328">
        <v>11</v>
      </c>
      <c r="L10" s="328">
        <v>12</v>
      </c>
      <c r="M10" s="328">
        <v>13</v>
      </c>
      <c r="N10" s="328">
        <v>14</v>
      </c>
      <c r="O10" s="328">
        <v>15</v>
      </c>
      <c r="P10" s="328">
        <v>16</v>
      </c>
    </row>
    <row r="11" spans="1:16">
      <c r="A11" s="272">
        <v>1</v>
      </c>
      <c r="B11" s="18" t="s">
        <v>912</v>
      </c>
      <c r="C11" s="273">
        <v>0</v>
      </c>
      <c r="D11" s="302">
        <v>313</v>
      </c>
      <c r="E11" s="437">
        <f>F11+G11+H11</f>
        <v>0</v>
      </c>
      <c r="F11" s="437">
        <f>ROUND(C11*253*150/1000000,2)</f>
        <v>0</v>
      </c>
      <c r="G11" s="437">
        <f>ROUND(C11*60*150/1000000,2)</f>
        <v>0</v>
      </c>
      <c r="H11" s="437">
        <v>0</v>
      </c>
      <c r="I11" s="437">
        <f>J11+K11+L11+M11+N11</f>
        <v>0</v>
      </c>
      <c r="J11" s="437">
        <f>ROUND(C11*30*296/1000000,2)</f>
        <v>0</v>
      </c>
      <c r="K11" s="437">
        <v>0</v>
      </c>
      <c r="L11" s="437">
        <v>0</v>
      </c>
      <c r="M11" s="437">
        <v>0</v>
      </c>
      <c r="N11" s="437">
        <v>0</v>
      </c>
      <c r="O11" s="273">
        <v>150</v>
      </c>
      <c r="P11" s="437">
        <f>ROUND(E11*1500/100000,2)</f>
        <v>0</v>
      </c>
    </row>
    <row r="12" spans="1:16">
      <c r="A12" s="272">
        <v>2</v>
      </c>
      <c r="B12" s="18" t="s">
        <v>913</v>
      </c>
      <c r="C12" s="273">
        <v>0</v>
      </c>
      <c r="D12" s="302">
        <v>313</v>
      </c>
      <c r="E12" s="437">
        <f t="shared" ref="E12:E44" si="0">F12+G12+H12</f>
        <v>0</v>
      </c>
      <c r="F12" s="437">
        <f t="shared" ref="F12:F45" si="1">ROUND(C12*253*150/1000000,2)</f>
        <v>0</v>
      </c>
      <c r="G12" s="437">
        <f t="shared" ref="G12:G45" si="2">ROUND(C12*60*150/1000000,2)</f>
        <v>0</v>
      </c>
      <c r="H12" s="437">
        <v>0</v>
      </c>
      <c r="I12" s="437">
        <f t="shared" ref="I12:I44" si="3">J12+K12+L12+M12+N12</f>
        <v>0</v>
      </c>
      <c r="J12" s="437">
        <f t="shared" ref="J12:J44" si="4">ROUND(C12*30*296/1000000,2)</f>
        <v>0</v>
      </c>
      <c r="K12" s="437">
        <v>0</v>
      </c>
      <c r="L12" s="437">
        <v>0</v>
      </c>
      <c r="M12" s="437">
        <v>0</v>
      </c>
      <c r="N12" s="437">
        <v>0</v>
      </c>
      <c r="O12" s="273">
        <v>150</v>
      </c>
      <c r="P12" s="437">
        <f t="shared" ref="P12:P44" si="5">ROUND(E12*1500/100000,2)</f>
        <v>0</v>
      </c>
    </row>
    <row r="13" spans="1:16">
      <c r="A13" s="272">
        <v>3</v>
      </c>
      <c r="B13" s="18" t="s">
        <v>914</v>
      </c>
      <c r="C13" s="273">
        <v>0</v>
      </c>
      <c r="D13" s="302">
        <v>313</v>
      </c>
      <c r="E13" s="437">
        <f t="shared" si="0"/>
        <v>0</v>
      </c>
      <c r="F13" s="437">
        <f t="shared" si="1"/>
        <v>0</v>
      </c>
      <c r="G13" s="437">
        <f t="shared" si="2"/>
        <v>0</v>
      </c>
      <c r="H13" s="437">
        <v>0</v>
      </c>
      <c r="I13" s="437">
        <f t="shared" si="3"/>
        <v>0</v>
      </c>
      <c r="J13" s="437">
        <f t="shared" si="4"/>
        <v>0</v>
      </c>
      <c r="K13" s="437">
        <v>0</v>
      </c>
      <c r="L13" s="437">
        <v>0</v>
      </c>
      <c r="M13" s="437">
        <v>0</v>
      </c>
      <c r="N13" s="437">
        <v>0</v>
      </c>
      <c r="O13" s="273">
        <v>150</v>
      </c>
      <c r="P13" s="437">
        <f t="shared" si="5"/>
        <v>0</v>
      </c>
    </row>
    <row r="14" spans="1:16">
      <c r="A14" s="272">
        <v>4</v>
      </c>
      <c r="B14" s="18" t="s">
        <v>915</v>
      </c>
      <c r="C14" s="273">
        <v>0</v>
      </c>
      <c r="D14" s="302">
        <v>313</v>
      </c>
      <c r="E14" s="437">
        <f t="shared" si="0"/>
        <v>0</v>
      </c>
      <c r="F14" s="437">
        <f t="shared" si="1"/>
        <v>0</v>
      </c>
      <c r="G14" s="437">
        <f t="shared" si="2"/>
        <v>0</v>
      </c>
      <c r="H14" s="437">
        <v>0</v>
      </c>
      <c r="I14" s="437">
        <f t="shared" si="3"/>
        <v>0</v>
      </c>
      <c r="J14" s="437">
        <f t="shared" si="4"/>
        <v>0</v>
      </c>
      <c r="K14" s="437">
        <v>0</v>
      </c>
      <c r="L14" s="437">
        <v>0</v>
      </c>
      <c r="M14" s="437">
        <v>0</v>
      </c>
      <c r="N14" s="437">
        <v>0</v>
      </c>
      <c r="O14" s="273">
        <v>150</v>
      </c>
      <c r="P14" s="437">
        <f t="shared" si="5"/>
        <v>0</v>
      </c>
    </row>
    <row r="15" spans="1:16">
      <c r="A15" s="272">
        <v>5</v>
      </c>
      <c r="B15" s="18" t="s">
        <v>916</v>
      </c>
      <c r="C15" s="273">
        <v>0</v>
      </c>
      <c r="D15" s="302">
        <v>313</v>
      </c>
      <c r="E15" s="437">
        <f t="shared" si="0"/>
        <v>0</v>
      </c>
      <c r="F15" s="437">
        <f t="shared" si="1"/>
        <v>0</v>
      </c>
      <c r="G15" s="437">
        <f t="shared" si="2"/>
        <v>0</v>
      </c>
      <c r="H15" s="437">
        <v>0</v>
      </c>
      <c r="I15" s="437">
        <f t="shared" si="3"/>
        <v>0</v>
      </c>
      <c r="J15" s="437">
        <f t="shared" si="4"/>
        <v>0</v>
      </c>
      <c r="K15" s="437">
        <v>0</v>
      </c>
      <c r="L15" s="437">
        <v>0</v>
      </c>
      <c r="M15" s="437">
        <v>0</v>
      </c>
      <c r="N15" s="437">
        <v>0</v>
      </c>
      <c r="O15" s="273">
        <v>150</v>
      </c>
      <c r="P15" s="437">
        <f t="shared" si="5"/>
        <v>0</v>
      </c>
    </row>
    <row r="16" spans="1:16">
      <c r="A16" s="272">
        <v>6</v>
      </c>
      <c r="B16" s="18" t="s">
        <v>917</v>
      </c>
      <c r="C16" s="273">
        <v>79</v>
      </c>
      <c r="D16" s="302">
        <v>313</v>
      </c>
      <c r="E16" s="437">
        <f t="shared" si="0"/>
        <v>3.71</v>
      </c>
      <c r="F16" s="437">
        <f t="shared" si="1"/>
        <v>3</v>
      </c>
      <c r="G16" s="437">
        <f t="shared" si="2"/>
        <v>0.71</v>
      </c>
      <c r="H16" s="437">
        <v>0</v>
      </c>
      <c r="I16" s="437">
        <f t="shared" si="3"/>
        <v>0.7</v>
      </c>
      <c r="J16" s="437">
        <f t="shared" si="4"/>
        <v>0.7</v>
      </c>
      <c r="K16" s="437">
        <v>0</v>
      </c>
      <c r="L16" s="437">
        <v>0</v>
      </c>
      <c r="M16" s="437">
        <v>0</v>
      </c>
      <c r="N16" s="437">
        <v>0</v>
      </c>
      <c r="O16" s="273">
        <v>150</v>
      </c>
      <c r="P16" s="437">
        <f t="shared" si="5"/>
        <v>0.06</v>
      </c>
    </row>
    <row r="17" spans="1:16">
      <c r="A17" s="272">
        <v>7</v>
      </c>
      <c r="B17" s="18" t="s">
        <v>918</v>
      </c>
      <c r="C17" s="273">
        <v>0</v>
      </c>
      <c r="D17" s="302">
        <v>313</v>
      </c>
      <c r="E17" s="437">
        <f t="shared" si="0"/>
        <v>0</v>
      </c>
      <c r="F17" s="437">
        <f t="shared" si="1"/>
        <v>0</v>
      </c>
      <c r="G17" s="437">
        <f t="shared" si="2"/>
        <v>0</v>
      </c>
      <c r="H17" s="437">
        <v>0</v>
      </c>
      <c r="I17" s="437">
        <f t="shared" si="3"/>
        <v>0</v>
      </c>
      <c r="J17" s="437">
        <f t="shared" si="4"/>
        <v>0</v>
      </c>
      <c r="K17" s="437">
        <v>0</v>
      </c>
      <c r="L17" s="437">
        <v>0</v>
      </c>
      <c r="M17" s="437">
        <v>0</v>
      </c>
      <c r="N17" s="437">
        <v>0</v>
      </c>
      <c r="O17" s="273">
        <v>150</v>
      </c>
      <c r="P17" s="437">
        <f t="shared" si="5"/>
        <v>0</v>
      </c>
    </row>
    <row r="18" spans="1:16">
      <c r="A18" s="272">
        <v>8</v>
      </c>
      <c r="B18" s="18" t="s">
        <v>919</v>
      </c>
      <c r="C18" s="273">
        <v>0</v>
      </c>
      <c r="D18" s="302">
        <v>313</v>
      </c>
      <c r="E18" s="437">
        <f t="shared" si="0"/>
        <v>0</v>
      </c>
      <c r="F18" s="437">
        <f t="shared" si="1"/>
        <v>0</v>
      </c>
      <c r="G18" s="437">
        <f t="shared" si="2"/>
        <v>0</v>
      </c>
      <c r="H18" s="437">
        <v>0</v>
      </c>
      <c r="I18" s="437">
        <f t="shared" si="3"/>
        <v>0</v>
      </c>
      <c r="J18" s="437">
        <f t="shared" si="4"/>
        <v>0</v>
      </c>
      <c r="K18" s="437">
        <v>0</v>
      </c>
      <c r="L18" s="437">
        <v>0</v>
      </c>
      <c r="M18" s="437">
        <v>0</v>
      </c>
      <c r="N18" s="437">
        <v>0</v>
      </c>
      <c r="O18" s="273">
        <v>150</v>
      </c>
      <c r="P18" s="437">
        <f t="shared" si="5"/>
        <v>0</v>
      </c>
    </row>
    <row r="19" spans="1:16">
      <c r="A19" s="272">
        <v>9</v>
      </c>
      <c r="B19" s="18" t="s">
        <v>920</v>
      </c>
      <c r="C19" s="273">
        <v>0</v>
      </c>
      <c r="D19" s="302">
        <v>313</v>
      </c>
      <c r="E19" s="437">
        <f t="shared" si="0"/>
        <v>0</v>
      </c>
      <c r="F19" s="437">
        <f t="shared" si="1"/>
        <v>0</v>
      </c>
      <c r="G19" s="437">
        <f t="shared" si="2"/>
        <v>0</v>
      </c>
      <c r="H19" s="437">
        <v>0</v>
      </c>
      <c r="I19" s="437">
        <f t="shared" si="3"/>
        <v>0</v>
      </c>
      <c r="J19" s="437">
        <f t="shared" si="4"/>
        <v>0</v>
      </c>
      <c r="K19" s="437">
        <v>0</v>
      </c>
      <c r="L19" s="437">
        <v>0</v>
      </c>
      <c r="M19" s="437">
        <v>0</v>
      </c>
      <c r="N19" s="437">
        <v>0</v>
      </c>
      <c r="O19" s="273">
        <v>150</v>
      </c>
      <c r="P19" s="437">
        <f t="shared" si="5"/>
        <v>0</v>
      </c>
    </row>
    <row r="20" spans="1:16">
      <c r="A20" s="272">
        <v>10</v>
      </c>
      <c r="B20" s="18" t="s">
        <v>921</v>
      </c>
      <c r="C20" s="273">
        <v>0</v>
      </c>
      <c r="D20" s="302">
        <v>313</v>
      </c>
      <c r="E20" s="437">
        <f t="shared" si="0"/>
        <v>0</v>
      </c>
      <c r="F20" s="437">
        <f t="shared" si="1"/>
        <v>0</v>
      </c>
      <c r="G20" s="437">
        <f t="shared" si="2"/>
        <v>0</v>
      </c>
      <c r="H20" s="437">
        <v>0</v>
      </c>
      <c r="I20" s="437">
        <f t="shared" si="3"/>
        <v>0</v>
      </c>
      <c r="J20" s="437">
        <f t="shared" si="4"/>
        <v>0</v>
      </c>
      <c r="K20" s="437">
        <v>0</v>
      </c>
      <c r="L20" s="437">
        <v>0</v>
      </c>
      <c r="M20" s="437">
        <v>0</v>
      </c>
      <c r="N20" s="437">
        <v>0</v>
      </c>
      <c r="O20" s="273">
        <v>150</v>
      </c>
      <c r="P20" s="437">
        <f t="shared" si="5"/>
        <v>0</v>
      </c>
    </row>
    <row r="21" spans="1:16">
      <c r="A21" s="272">
        <v>11</v>
      </c>
      <c r="B21" s="18" t="s">
        <v>922</v>
      </c>
      <c r="C21" s="273">
        <v>0</v>
      </c>
      <c r="D21" s="302">
        <v>313</v>
      </c>
      <c r="E21" s="437">
        <f t="shared" si="0"/>
        <v>0</v>
      </c>
      <c r="F21" s="437">
        <f t="shared" si="1"/>
        <v>0</v>
      </c>
      <c r="G21" s="437">
        <f t="shared" si="2"/>
        <v>0</v>
      </c>
      <c r="H21" s="437">
        <v>0</v>
      </c>
      <c r="I21" s="437">
        <f t="shared" si="3"/>
        <v>0</v>
      </c>
      <c r="J21" s="437">
        <f t="shared" si="4"/>
        <v>0</v>
      </c>
      <c r="K21" s="437">
        <v>0</v>
      </c>
      <c r="L21" s="437">
        <v>0</v>
      </c>
      <c r="M21" s="437">
        <v>0</v>
      </c>
      <c r="N21" s="437">
        <v>0</v>
      </c>
      <c r="O21" s="273">
        <v>150</v>
      </c>
      <c r="P21" s="437">
        <f t="shared" si="5"/>
        <v>0</v>
      </c>
    </row>
    <row r="22" spans="1:16">
      <c r="A22" s="272">
        <v>12</v>
      </c>
      <c r="B22" s="18" t="s">
        <v>923</v>
      </c>
      <c r="C22" s="273">
        <v>7</v>
      </c>
      <c r="D22" s="302">
        <v>313</v>
      </c>
      <c r="E22" s="437">
        <f t="shared" si="0"/>
        <v>0.33</v>
      </c>
      <c r="F22" s="437">
        <f t="shared" si="1"/>
        <v>0.27</v>
      </c>
      <c r="G22" s="437">
        <f t="shared" si="2"/>
        <v>0.06</v>
      </c>
      <c r="H22" s="437">
        <v>0</v>
      </c>
      <c r="I22" s="437">
        <f t="shared" si="3"/>
        <v>0.06</v>
      </c>
      <c r="J22" s="437">
        <f t="shared" si="4"/>
        <v>0.06</v>
      </c>
      <c r="K22" s="437">
        <v>0</v>
      </c>
      <c r="L22" s="437">
        <v>0</v>
      </c>
      <c r="M22" s="437">
        <v>0</v>
      </c>
      <c r="N22" s="437">
        <v>0</v>
      </c>
      <c r="O22" s="273">
        <v>150</v>
      </c>
      <c r="P22" s="437">
        <f t="shared" si="5"/>
        <v>0</v>
      </c>
    </row>
    <row r="23" spans="1:16">
      <c r="A23" s="272">
        <v>13</v>
      </c>
      <c r="B23" s="18" t="s">
        <v>924</v>
      </c>
      <c r="C23" s="273">
        <v>0</v>
      </c>
      <c r="D23" s="302">
        <v>313</v>
      </c>
      <c r="E23" s="437">
        <f t="shared" si="0"/>
        <v>0</v>
      </c>
      <c r="F23" s="437">
        <f t="shared" si="1"/>
        <v>0</v>
      </c>
      <c r="G23" s="437">
        <f t="shared" si="2"/>
        <v>0</v>
      </c>
      <c r="H23" s="437">
        <v>0</v>
      </c>
      <c r="I23" s="437">
        <f t="shared" si="3"/>
        <v>0</v>
      </c>
      <c r="J23" s="437">
        <f t="shared" si="4"/>
        <v>0</v>
      </c>
      <c r="K23" s="437">
        <v>0</v>
      </c>
      <c r="L23" s="437">
        <v>0</v>
      </c>
      <c r="M23" s="437">
        <v>0</v>
      </c>
      <c r="N23" s="437">
        <v>0</v>
      </c>
      <c r="O23" s="273">
        <v>150</v>
      </c>
      <c r="P23" s="437">
        <f t="shared" si="5"/>
        <v>0</v>
      </c>
    </row>
    <row r="24" spans="1:16">
      <c r="A24" s="272">
        <v>14</v>
      </c>
      <c r="B24" s="18" t="s">
        <v>925</v>
      </c>
      <c r="C24" s="273">
        <v>0</v>
      </c>
      <c r="D24" s="302">
        <v>313</v>
      </c>
      <c r="E24" s="437">
        <f t="shared" si="0"/>
        <v>0</v>
      </c>
      <c r="F24" s="437">
        <f t="shared" si="1"/>
        <v>0</v>
      </c>
      <c r="G24" s="437">
        <f t="shared" si="2"/>
        <v>0</v>
      </c>
      <c r="H24" s="437">
        <v>0</v>
      </c>
      <c r="I24" s="437">
        <f t="shared" si="3"/>
        <v>0</v>
      </c>
      <c r="J24" s="437">
        <f t="shared" si="4"/>
        <v>0</v>
      </c>
      <c r="K24" s="437">
        <v>0</v>
      </c>
      <c r="L24" s="437">
        <v>0</v>
      </c>
      <c r="M24" s="437">
        <v>0</v>
      </c>
      <c r="N24" s="437">
        <v>0</v>
      </c>
      <c r="O24" s="273">
        <v>150</v>
      </c>
      <c r="P24" s="437">
        <f t="shared" si="5"/>
        <v>0</v>
      </c>
    </row>
    <row r="25" spans="1:16">
      <c r="A25" s="272">
        <v>15</v>
      </c>
      <c r="B25" s="18" t="s">
        <v>926</v>
      </c>
      <c r="C25" s="273">
        <v>0</v>
      </c>
      <c r="D25" s="302">
        <v>313</v>
      </c>
      <c r="E25" s="437">
        <f t="shared" si="0"/>
        <v>0</v>
      </c>
      <c r="F25" s="437">
        <f t="shared" si="1"/>
        <v>0</v>
      </c>
      <c r="G25" s="437">
        <f t="shared" si="2"/>
        <v>0</v>
      </c>
      <c r="H25" s="437">
        <v>0</v>
      </c>
      <c r="I25" s="437">
        <f t="shared" si="3"/>
        <v>0</v>
      </c>
      <c r="J25" s="437">
        <f t="shared" si="4"/>
        <v>0</v>
      </c>
      <c r="K25" s="437">
        <v>0</v>
      </c>
      <c r="L25" s="437">
        <v>0</v>
      </c>
      <c r="M25" s="437">
        <v>0</v>
      </c>
      <c r="N25" s="437">
        <v>0</v>
      </c>
      <c r="O25" s="273">
        <v>150</v>
      </c>
      <c r="P25" s="437">
        <f t="shared" si="5"/>
        <v>0</v>
      </c>
    </row>
    <row r="26" spans="1:16">
      <c r="A26" s="272">
        <v>16</v>
      </c>
      <c r="B26" s="18" t="s">
        <v>927</v>
      </c>
      <c r="C26" s="273">
        <v>0</v>
      </c>
      <c r="D26" s="302">
        <v>313</v>
      </c>
      <c r="E26" s="437">
        <f t="shared" si="0"/>
        <v>0</v>
      </c>
      <c r="F26" s="437">
        <f t="shared" si="1"/>
        <v>0</v>
      </c>
      <c r="G26" s="437">
        <f t="shared" si="2"/>
        <v>0</v>
      </c>
      <c r="H26" s="437">
        <v>0</v>
      </c>
      <c r="I26" s="437">
        <f t="shared" si="3"/>
        <v>0</v>
      </c>
      <c r="J26" s="437">
        <f t="shared" si="4"/>
        <v>0</v>
      </c>
      <c r="K26" s="437">
        <v>0</v>
      </c>
      <c r="L26" s="437">
        <v>0</v>
      </c>
      <c r="M26" s="437">
        <v>0</v>
      </c>
      <c r="N26" s="437">
        <v>0</v>
      </c>
      <c r="O26" s="273">
        <v>150</v>
      </c>
      <c r="P26" s="437">
        <f t="shared" si="5"/>
        <v>0</v>
      </c>
    </row>
    <row r="27" spans="1:16">
      <c r="A27" s="272">
        <v>17</v>
      </c>
      <c r="B27" s="18" t="s">
        <v>928</v>
      </c>
      <c r="C27" s="273">
        <v>0</v>
      </c>
      <c r="D27" s="302">
        <v>313</v>
      </c>
      <c r="E27" s="437">
        <f t="shared" si="0"/>
        <v>0</v>
      </c>
      <c r="F27" s="437">
        <f t="shared" si="1"/>
        <v>0</v>
      </c>
      <c r="G27" s="437">
        <f t="shared" si="2"/>
        <v>0</v>
      </c>
      <c r="H27" s="437">
        <v>0</v>
      </c>
      <c r="I27" s="437">
        <f t="shared" si="3"/>
        <v>0</v>
      </c>
      <c r="J27" s="437">
        <f t="shared" si="4"/>
        <v>0</v>
      </c>
      <c r="K27" s="437">
        <v>0</v>
      </c>
      <c r="L27" s="437">
        <v>0</v>
      </c>
      <c r="M27" s="437">
        <v>0</v>
      </c>
      <c r="N27" s="437">
        <v>0</v>
      </c>
      <c r="O27" s="273">
        <v>150</v>
      </c>
      <c r="P27" s="437">
        <f t="shared" si="5"/>
        <v>0</v>
      </c>
    </row>
    <row r="28" spans="1:16">
      <c r="A28" s="272">
        <v>18</v>
      </c>
      <c r="B28" s="18" t="s">
        <v>929</v>
      </c>
      <c r="C28" s="273">
        <v>0</v>
      </c>
      <c r="D28" s="302">
        <v>313</v>
      </c>
      <c r="E28" s="437">
        <f t="shared" si="0"/>
        <v>0</v>
      </c>
      <c r="F28" s="437">
        <f t="shared" si="1"/>
        <v>0</v>
      </c>
      <c r="G28" s="437">
        <f t="shared" si="2"/>
        <v>0</v>
      </c>
      <c r="H28" s="437">
        <v>0</v>
      </c>
      <c r="I28" s="437">
        <f t="shared" si="3"/>
        <v>0</v>
      </c>
      <c r="J28" s="437">
        <f t="shared" si="4"/>
        <v>0</v>
      </c>
      <c r="K28" s="437">
        <v>0</v>
      </c>
      <c r="L28" s="437">
        <v>0</v>
      </c>
      <c r="M28" s="437">
        <v>0</v>
      </c>
      <c r="N28" s="437">
        <v>0</v>
      </c>
      <c r="O28" s="273">
        <v>150</v>
      </c>
      <c r="P28" s="437">
        <f t="shared" si="5"/>
        <v>0</v>
      </c>
    </row>
    <row r="29" spans="1:16">
      <c r="A29" s="272">
        <v>19</v>
      </c>
      <c r="B29" s="18" t="s">
        <v>930</v>
      </c>
      <c r="C29" s="273">
        <v>0</v>
      </c>
      <c r="D29" s="302">
        <v>313</v>
      </c>
      <c r="E29" s="437">
        <f t="shared" si="0"/>
        <v>0</v>
      </c>
      <c r="F29" s="437">
        <f t="shared" si="1"/>
        <v>0</v>
      </c>
      <c r="G29" s="437">
        <f t="shared" si="2"/>
        <v>0</v>
      </c>
      <c r="H29" s="437">
        <v>0</v>
      </c>
      <c r="I29" s="437">
        <f t="shared" si="3"/>
        <v>0</v>
      </c>
      <c r="J29" s="437">
        <f t="shared" si="4"/>
        <v>0</v>
      </c>
      <c r="K29" s="437">
        <v>0</v>
      </c>
      <c r="L29" s="437">
        <v>0</v>
      </c>
      <c r="M29" s="437">
        <v>0</v>
      </c>
      <c r="N29" s="437">
        <v>0</v>
      </c>
      <c r="O29" s="273">
        <v>150</v>
      </c>
      <c r="P29" s="437">
        <f t="shared" si="5"/>
        <v>0</v>
      </c>
    </row>
    <row r="30" spans="1:16">
      <c r="A30" s="272">
        <v>20</v>
      </c>
      <c r="B30" s="18" t="s">
        <v>931</v>
      </c>
      <c r="C30" s="273">
        <v>0</v>
      </c>
      <c r="D30" s="302">
        <v>313</v>
      </c>
      <c r="E30" s="437">
        <f t="shared" si="0"/>
        <v>0</v>
      </c>
      <c r="F30" s="437">
        <f t="shared" si="1"/>
        <v>0</v>
      </c>
      <c r="G30" s="437">
        <f t="shared" si="2"/>
        <v>0</v>
      </c>
      <c r="H30" s="437">
        <v>0</v>
      </c>
      <c r="I30" s="437">
        <f t="shared" si="3"/>
        <v>0</v>
      </c>
      <c r="J30" s="437">
        <f t="shared" si="4"/>
        <v>0</v>
      </c>
      <c r="K30" s="437">
        <v>0</v>
      </c>
      <c r="L30" s="437">
        <v>0</v>
      </c>
      <c r="M30" s="437">
        <v>0</v>
      </c>
      <c r="N30" s="437">
        <v>0</v>
      </c>
      <c r="O30" s="273">
        <v>150</v>
      </c>
      <c r="P30" s="437">
        <f t="shared" si="5"/>
        <v>0</v>
      </c>
    </row>
    <row r="31" spans="1:16">
      <c r="A31" s="272">
        <v>21</v>
      </c>
      <c r="B31" s="18" t="s">
        <v>932</v>
      </c>
      <c r="C31" s="273">
        <v>0</v>
      </c>
      <c r="D31" s="302">
        <v>313</v>
      </c>
      <c r="E31" s="437">
        <f t="shared" si="0"/>
        <v>0</v>
      </c>
      <c r="F31" s="437">
        <f t="shared" si="1"/>
        <v>0</v>
      </c>
      <c r="G31" s="437">
        <f t="shared" si="2"/>
        <v>0</v>
      </c>
      <c r="H31" s="437">
        <v>0</v>
      </c>
      <c r="I31" s="437">
        <f t="shared" si="3"/>
        <v>0</v>
      </c>
      <c r="J31" s="437">
        <f t="shared" si="4"/>
        <v>0</v>
      </c>
      <c r="K31" s="437">
        <v>0</v>
      </c>
      <c r="L31" s="437">
        <v>0</v>
      </c>
      <c r="M31" s="437">
        <v>0</v>
      </c>
      <c r="N31" s="437">
        <v>0</v>
      </c>
      <c r="O31" s="273">
        <v>150</v>
      </c>
      <c r="P31" s="437">
        <f t="shared" si="5"/>
        <v>0</v>
      </c>
    </row>
    <row r="32" spans="1:16">
      <c r="A32" s="272">
        <v>22</v>
      </c>
      <c r="B32" s="18" t="s">
        <v>933</v>
      </c>
      <c r="C32" s="273">
        <v>0</v>
      </c>
      <c r="D32" s="302">
        <v>313</v>
      </c>
      <c r="E32" s="437">
        <f t="shared" si="0"/>
        <v>0</v>
      </c>
      <c r="F32" s="437">
        <f t="shared" si="1"/>
        <v>0</v>
      </c>
      <c r="G32" s="437">
        <f t="shared" si="2"/>
        <v>0</v>
      </c>
      <c r="H32" s="437">
        <v>0</v>
      </c>
      <c r="I32" s="437">
        <f t="shared" si="3"/>
        <v>0</v>
      </c>
      <c r="J32" s="437">
        <f t="shared" si="4"/>
        <v>0</v>
      </c>
      <c r="K32" s="437">
        <v>0</v>
      </c>
      <c r="L32" s="437">
        <v>0</v>
      </c>
      <c r="M32" s="437">
        <v>0</v>
      </c>
      <c r="N32" s="437">
        <v>0</v>
      </c>
      <c r="O32" s="273">
        <v>150</v>
      </c>
      <c r="P32" s="437">
        <f t="shared" si="5"/>
        <v>0</v>
      </c>
    </row>
    <row r="33" spans="1:16">
      <c r="A33" s="272">
        <v>23</v>
      </c>
      <c r="B33" s="18" t="s">
        <v>934</v>
      </c>
      <c r="C33" s="273">
        <v>0</v>
      </c>
      <c r="D33" s="302">
        <v>313</v>
      </c>
      <c r="E33" s="437">
        <f t="shared" si="0"/>
        <v>0</v>
      </c>
      <c r="F33" s="437">
        <f t="shared" si="1"/>
        <v>0</v>
      </c>
      <c r="G33" s="437">
        <f t="shared" si="2"/>
        <v>0</v>
      </c>
      <c r="H33" s="437">
        <v>0</v>
      </c>
      <c r="I33" s="437">
        <f t="shared" si="3"/>
        <v>0</v>
      </c>
      <c r="J33" s="437">
        <f t="shared" si="4"/>
        <v>0</v>
      </c>
      <c r="K33" s="437">
        <v>0</v>
      </c>
      <c r="L33" s="437">
        <v>0</v>
      </c>
      <c r="M33" s="437">
        <v>0</v>
      </c>
      <c r="N33" s="437">
        <v>0</v>
      </c>
      <c r="O33" s="273">
        <v>150</v>
      </c>
      <c r="P33" s="437">
        <f t="shared" si="5"/>
        <v>0</v>
      </c>
    </row>
    <row r="34" spans="1:16">
      <c r="A34" s="272">
        <v>24</v>
      </c>
      <c r="B34" s="18" t="s">
        <v>935</v>
      </c>
      <c r="C34" s="273">
        <v>0</v>
      </c>
      <c r="D34" s="302">
        <v>313</v>
      </c>
      <c r="E34" s="437">
        <f t="shared" si="0"/>
        <v>0</v>
      </c>
      <c r="F34" s="437">
        <f t="shared" si="1"/>
        <v>0</v>
      </c>
      <c r="G34" s="437">
        <f t="shared" si="2"/>
        <v>0</v>
      </c>
      <c r="H34" s="437">
        <v>0</v>
      </c>
      <c r="I34" s="437">
        <f t="shared" si="3"/>
        <v>0</v>
      </c>
      <c r="J34" s="437">
        <f t="shared" si="4"/>
        <v>0</v>
      </c>
      <c r="K34" s="437">
        <v>0</v>
      </c>
      <c r="L34" s="437">
        <v>0</v>
      </c>
      <c r="M34" s="437">
        <v>0</v>
      </c>
      <c r="N34" s="437">
        <v>0</v>
      </c>
      <c r="O34" s="273">
        <v>150</v>
      </c>
      <c r="P34" s="437">
        <f t="shared" si="5"/>
        <v>0</v>
      </c>
    </row>
    <row r="35" spans="1:16">
      <c r="A35" s="272">
        <v>25</v>
      </c>
      <c r="B35" s="18" t="s">
        <v>936</v>
      </c>
      <c r="C35" s="273">
        <v>0</v>
      </c>
      <c r="D35" s="302">
        <v>313</v>
      </c>
      <c r="E35" s="437">
        <f t="shared" si="0"/>
        <v>0</v>
      </c>
      <c r="F35" s="437">
        <f t="shared" si="1"/>
        <v>0</v>
      </c>
      <c r="G35" s="437">
        <f t="shared" si="2"/>
        <v>0</v>
      </c>
      <c r="H35" s="437">
        <v>0</v>
      </c>
      <c r="I35" s="437">
        <f t="shared" si="3"/>
        <v>0</v>
      </c>
      <c r="J35" s="437">
        <f t="shared" si="4"/>
        <v>0</v>
      </c>
      <c r="K35" s="437">
        <v>0</v>
      </c>
      <c r="L35" s="437">
        <v>0</v>
      </c>
      <c r="M35" s="437">
        <v>0</v>
      </c>
      <c r="N35" s="437">
        <v>0</v>
      </c>
      <c r="O35" s="273">
        <v>150</v>
      </c>
      <c r="P35" s="437">
        <f t="shared" si="5"/>
        <v>0</v>
      </c>
    </row>
    <row r="36" spans="1:16">
      <c r="A36" s="272">
        <v>26</v>
      </c>
      <c r="B36" s="18" t="s">
        <v>937</v>
      </c>
      <c r="C36" s="273">
        <v>0</v>
      </c>
      <c r="D36" s="302">
        <v>313</v>
      </c>
      <c r="E36" s="437">
        <f t="shared" si="0"/>
        <v>0</v>
      </c>
      <c r="F36" s="437">
        <f t="shared" si="1"/>
        <v>0</v>
      </c>
      <c r="G36" s="437">
        <f t="shared" si="2"/>
        <v>0</v>
      </c>
      <c r="H36" s="437">
        <v>0</v>
      </c>
      <c r="I36" s="437">
        <f t="shared" si="3"/>
        <v>0</v>
      </c>
      <c r="J36" s="437">
        <f t="shared" si="4"/>
        <v>0</v>
      </c>
      <c r="K36" s="437">
        <v>0</v>
      </c>
      <c r="L36" s="437">
        <v>0</v>
      </c>
      <c r="M36" s="437">
        <v>0</v>
      </c>
      <c r="N36" s="437">
        <v>0</v>
      </c>
      <c r="O36" s="273">
        <v>150</v>
      </c>
      <c r="P36" s="437">
        <f t="shared" si="5"/>
        <v>0</v>
      </c>
    </row>
    <row r="37" spans="1:16">
      <c r="A37" s="272">
        <v>27</v>
      </c>
      <c r="B37" s="18" t="s">
        <v>938</v>
      </c>
      <c r="C37" s="273">
        <v>0</v>
      </c>
      <c r="D37" s="302">
        <v>313</v>
      </c>
      <c r="E37" s="437">
        <f t="shared" si="0"/>
        <v>0</v>
      </c>
      <c r="F37" s="437">
        <f t="shared" si="1"/>
        <v>0</v>
      </c>
      <c r="G37" s="437">
        <f t="shared" si="2"/>
        <v>0</v>
      </c>
      <c r="H37" s="437">
        <v>0</v>
      </c>
      <c r="I37" s="437">
        <f t="shared" si="3"/>
        <v>0</v>
      </c>
      <c r="J37" s="437">
        <f t="shared" si="4"/>
        <v>0</v>
      </c>
      <c r="K37" s="437">
        <v>0</v>
      </c>
      <c r="L37" s="437">
        <v>0</v>
      </c>
      <c r="M37" s="437">
        <v>0</v>
      </c>
      <c r="N37" s="437">
        <v>0</v>
      </c>
      <c r="O37" s="273">
        <v>150</v>
      </c>
      <c r="P37" s="437">
        <f t="shared" si="5"/>
        <v>0</v>
      </c>
    </row>
    <row r="38" spans="1:16">
      <c r="A38" s="272">
        <v>28</v>
      </c>
      <c r="B38" s="18" t="s">
        <v>939</v>
      </c>
      <c r="C38" s="273">
        <v>0</v>
      </c>
      <c r="D38" s="302">
        <v>313</v>
      </c>
      <c r="E38" s="437">
        <f t="shared" si="0"/>
        <v>0</v>
      </c>
      <c r="F38" s="437">
        <f t="shared" si="1"/>
        <v>0</v>
      </c>
      <c r="G38" s="437">
        <f t="shared" si="2"/>
        <v>0</v>
      </c>
      <c r="H38" s="437">
        <v>0</v>
      </c>
      <c r="I38" s="437">
        <f t="shared" si="3"/>
        <v>0</v>
      </c>
      <c r="J38" s="437">
        <f t="shared" si="4"/>
        <v>0</v>
      </c>
      <c r="K38" s="437">
        <v>0</v>
      </c>
      <c r="L38" s="437">
        <v>0</v>
      </c>
      <c r="M38" s="437">
        <v>0</v>
      </c>
      <c r="N38" s="437">
        <v>0</v>
      </c>
      <c r="O38" s="273">
        <v>150</v>
      </c>
      <c r="P38" s="437">
        <f t="shared" si="5"/>
        <v>0</v>
      </c>
    </row>
    <row r="39" spans="1:16">
      <c r="A39" s="272">
        <v>29</v>
      </c>
      <c r="B39" s="18" t="s">
        <v>940</v>
      </c>
      <c r="C39" s="273">
        <v>0</v>
      </c>
      <c r="D39" s="302">
        <v>313</v>
      </c>
      <c r="E39" s="437">
        <f t="shared" si="0"/>
        <v>0</v>
      </c>
      <c r="F39" s="437">
        <f t="shared" si="1"/>
        <v>0</v>
      </c>
      <c r="G39" s="437">
        <f t="shared" si="2"/>
        <v>0</v>
      </c>
      <c r="H39" s="437">
        <v>0</v>
      </c>
      <c r="I39" s="437">
        <f t="shared" si="3"/>
        <v>0</v>
      </c>
      <c r="J39" s="437">
        <f t="shared" si="4"/>
        <v>0</v>
      </c>
      <c r="K39" s="437">
        <v>0</v>
      </c>
      <c r="L39" s="437">
        <v>0</v>
      </c>
      <c r="M39" s="437">
        <v>0</v>
      </c>
      <c r="N39" s="437">
        <v>0</v>
      </c>
      <c r="O39" s="273">
        <v>150</v>
      </c>
      <c r="P39" s="437">
        <f t="shared" si="5"/>
        <v>0</v>
      </c>
    </row>
    <row r="40" spans="1:16">
      <c r="A40" s="272">
        <v>30</v>
      </c>
      <c r="B40" s="18" t="s">
        <v>941</v>
      </c>
      <c r="C40" s="273">
        <v>274</v>
      </c>
      <c r="D40" s="302">
        <v>313</v>
      </c>
      <c r="E40" s="437">
        <f t="shared" si="0"/>
        <v>12.870000000000001</v>
      </c>
      <c r="F40" s="437">
        <f t="shared" si="1"/>
        <v>10.4</v>
      </c>
      <c r="G40" s="437">
        <f t="shared" si="2"/>
        <v>2.4700000000000002</v>
      </c>
      <c r="H40" s="437">
        <v>0</v>
      </c>
      <c r="I40" s="437">
        <f t="shared" si="3"/>
        <v>2.4300000000000002</v>
      </c>
      <c r="J40" s="437">
        <f t="shared" si="4"/>
        <v>2.4300000000000002</v>
      </c>
      <c r="K40" s="437">
        <v>0</v>
      </c>
      <c r="L40" s="437">
        <v>0</v>
      </c>
      <c r="M40" s="437">
        <v>0</v>
      </c>
      <c r="N40" s="437">
        <v>0</v>
      </c>
      <c r="O40" s="273">
        <v>150</v>
      </c>
      <c r="P40" s="437">
        <f t="shared" si="5"/>
        <v>0.19</v>
      </c>
    </row>
    <row r="41" spans="1:16">
      <c r="A41" s="272">
        <v>31</v>
      </c>
      <c r="B41" s="18" t="s">
        <v>942</v>
      </c>
      <c r="C41" s="273">
        <v>0</v>
      </c>
      <c r="D41" s="302">
        <v>313</v>
      </c>
      <c r="E41" s="437">
        <f t="shared" si="0"/>
        <v>0</v>
      </c>
      <c r="F41" s="437">
        <f t="shared" si="1"/>
        <v>0</v>
      </c>
      <c r="G41" s="437">
        <f t="shared" si="2"/>
        <v>0</v>
      </c>
      <c r="H41" s="437">
        <v>0</v>
      </c>
      <c r="I41" s="437">
        <f t="shared" si="3"/>
        <v>0</v>
      </c>
      <c r="J41" s="437">
        <f t="shared" si="4"/>
        <v>0</v>
      </c>
      <c r="K41" s="437">
        <v>0</v>
      </c>
      <c r="L41" s="437">
        <v>0</v>
      </c>
      <c r="M41" s="437">
        <v>0</v>
      </c>
      <c r="N41" s="437">
        <v>0</v>
      </c>
      <c r="O41" s="273">
        <v>150</v>
      </c>
      <c r="P41" s="437">
        <f t="shared" si="5"/>
        <v>0</v>
      </c>
    </row>
    <row r="42" spans="1:16">
      <c r="A42" s="272">
        <v>32</v>
      </c>
      <c r="B42" s="18" t="s">
        <v>943</v>
      </c>
      <c r="C42" s="273">
        <v>0</v>
      </c>
      <c r="D42" s="302">
        <v>313</v>
      </c>
      <c r="E42" s="437">
        <f t="shared" si="0"/>
        <v>0</v>
      </c>
      <c r="F42" s="437">
        <f t="shared" si="1"/>
        <v>0</v>
      </c>
      <c r="G42" s="437">
        <f t="shared" si="2"/>
        <v>0</v>
      </c>
      <c r="H42" s="437">
        <v>0</v>
      </c>
      <c r="I42" s="437">
        <f t="shared" si="3"/>
        <v>0</v>
      </c>
      <c r="J42" s="437">
        <f t="shared" si="4"/>
        <v>0</v>
      </c>
      <c r="K42" s="437">
        <v>0</v>
      </c>
      <c r="L42" s="437">
        <v>0</v>
      </c>
      <c r="M42" s="437">
        <v>0</v>
      </c>
      <c r="N42" s="437">
        <v>0</v>
      </c>
      <c r="O42" s="273">
        <v>150</v>
      </c>
      <c r="P42" s="437">
        <f t="shared" si="5"/>
        <v>0</v>
      </c>
    </row>
    <row r="43" spans="1:16">
      <c r="A43" s="272">
        <v>33</v>
      </c>
      <c r="B43" s="18" t="s">
        <v>944</v>
      </c>
      <c r="C43" s="273">
        <v>324</v>
      </c>
      <c r="D43" s="302">
        <v>313</v>
      </c>
      <c r="E43" s="437">
        <f t="shared" si="0"/>
        <v>15.22</v>
      </c>
      <c r="F43" s="437">
        <f t="shared" si="1"/>
        <v>12.3</v>
      </c>
      <c r="G43" s="437">
        <f t="shared" si="2"/>
        <v>2.92</v>
      </c>
      <c r="H43" s="437">
        <v>0</v>
      </c>
      <c r="I43" s="437">
        <f t="shared" si="3"/>
        <v>2.88</v>
      </c>
      <c r="J43" s="437">
        <f t="shared" si="4"/>
        <v>2.88</v>
      </c>
      <c r="K43" s="437">
        <v>0</v>
      </c>
      <c r="L43" s="437">
        <v>0</v>
      </c>
      <c r="M43" s="437">
        <v>0</v>
      </c>
      <c r="N43" s="437">
        <v>0</v>
      </c>
      <c r="O43" s="273">
        <v>150</v>
      </c>
      <c r="P43" s="437">
        <f t="shared" si="5"/>
        <v>0.23</v>
      </c>
    </row>
    <row r="44" spans="1:16">
      <c r="A44" s="272">
        <v>34</v>
      </c>
      <c r="B44" s="18" t="s">
        <v>945</v>
      </c>
      <c r="C44" s="273">
        <v>0</v>
      </c>
      <c r="D44" s="302">
        <v>313</v>
      </c>
      <c r="E44" s="437">
        <f t="shared" si="0"/>
        <v>0</v>
      </c>
      <c r="F44" s="437">
        <f t="shared" si="1"/>
        <v>0</v>
      </c>
      <c r="G44" s="437">
        <f t="shared" si="2"/>
        <v>0</v>
      </c>
      <c r="H44" s="437">
        <v>0</v>
      </c>
      <c r="I44" s="437">
        <f t="shared" si="3"/>
        <v>0</v>
      </c>
      <c r="J44" s="437">
        <f t="shared" si="4"/>
        <v>0</v>
      </c>
      <c r="K44" s="437">
        <v>0</v>
      </c>
      <c r="L44" s="437">
        <v>0</v>
      </c>
      <c r="M44" s="437">
        <v>0</v>
      </c>
      <c r="N44" s="437">
        <v>0</v>
      </c>
      <c r="O44" s="273">
        <v>150</v>
      </c>
      <c r="P44" s="437">
        <f t="shared" si="5"/>
        <v>0</v>
      </c>
    </row>
    <row r="45" spans="1:16">
      <c r="A45" s="329" t="s">
        <v>17</v>
      </c>
      <c r="B45" s="273"/>
      <c r="C45" s="399">
        <f>SUM(C11:C44)</f>
        <v>684</v>
      </c>
      <c r="D45" s="438"/>
      <c r="E45" s="439">
        <f t="shared" ref="E45:J45" si="6">SUM(E11:E44)</f>
        <v>32.130000000000003</v>
      </c>
      <c r="F45" s="439">
        <f t="shared" si="1"/>
        <v>25.96</v>
      </c>
      <c r="G45" s="439">
        <f t="shared" si="2"/>
        <v>6.16</v>
      </c>
      <c r="H45" s="439">
        <f t="shared" si="6"/>
        <v>0</v>
      </c>
      <c r="I45" s="439">
        <f t="shared" si="6"/>
        <v>6.07</v>
      </c>
      <c r="J45" s="439">
        <f t="shared" si="6"/>
        <v>6.07</v>
      </c>
      <c r="K45" s="439">
        <f t="shared" ref="K45:N45" si="7">SUM(K11:K44)</f>
        <v>0</v>
      </c>
      <c r="L45" s="439">
        <f t="shared" si="7"/>
        <v>0</v>
      </c>
      <c r="M45" s="439">
        <f t="shared" si="7"/>
        <v>0</v>
      </c>
      <c r="N45" s="439">
        <f t="shared" si="7"/>
        <v>0</v>
      </c>
      <c r="O45" s="399"/>
      <c r="P45" s="439">
        <f>SUM(P11:P44)</f>
        <v>0.48</v>
      </c>
    </row>
    <row r="46" spans="1:16">
      <c r="A46" s="275"/>
      <c r="B46" s="275"/>
      <c r="C46" s="275"/>
      <c r="D46" s="275"/>
      <c r="E46" s="268"/>
      <c r="F46" s="268"/>
      <c r="G46" s="268"/>
      <c r="H46" s="268"/>
      <c r="I46" s="268"/>
      <c r="J46" s="268"/>
      <c r="K46" s="268"/>
      <c r="L46" s="268"/>
      <c r="M46" s="268"/>
      <c r="N46" s="268"/>
    </row>
    <row r="47" spans="1:16">
      <c r="A47" s="276"/>
      <c r="B47" s="277"/>
      <c r="C47" s="275"/>
      <c r="D47" s="275"/>
      <c r="E47" s="275"/>
      <c r="F47" s="268"/>
      <c r="G47" s="268"/>
      <c r="H47" s="268"/>
      <c r="I47" s="268"/>
      <c r="J47" s="268"/>
      <c r="K47" s="268"/>
      <c r="L47" s="268"/>
      <c r="M47" s="268"/>
      <c r="N47" s="268"/>
    </row>
    <row r="48" spans="1:16" ht="15">
      <c r="A48" s="278"/>
      <c r="B48" s="278"/>
      <c r="E48" s="268"/>
      <c r="F48" s="268"/>
      <c r="G48" s="268"/>
      <c r="H48" s="268"/>
      <c r="I48" s="268"/>
      <c r="J48" s="268"/>
      <c r="K48" s="1136" t="s">
        <v>12</v>
      </c>
      <c r="L48" s="1136"/>
      <c r="M48" s="1136"/>
      <c r="N48" s="1136"/>
    </row>
    <row r="49" spans="1:20" ht="15">
      <c r="D49" s="1133" t="s">
        <v>906</v>
      </c>
      <c r="E49" s="1133"/>
      <c r="F49" s="1133"/>
      <c r="G49" s="440"/>
      <c r="H49" s="268"/>
      <c r="I49" s="268"/>
      <c r="J49" s="268"/>
      <c r="K49" s="1136" t="s">
        <v>13</v>
      </c>
      <c r="L49" s="1136"/>
      <c r="M49" s="1136"/>
      <c r="N49" s="1136"/>
      <c r="S49" s="268"/>
      <c r="T49" s="268"/>
    </row>
    <row r="50" spans="1:20" ht="15">
      <c r="D50" s="1148" t="s">
        <v>907</v>
      </c>
      <c r="E50" s="1148"/>
      <c r="F50" s="1148"/>
      <c r="G50" s="442"/>
      <c r="H50" s="268"/>
      <c r="I50" s="268"/>
      <c r="J50" s="268"/>
      <c r="K50" s="1136" t="s">
        <v>18</v>
      </c>
      <c r="L50" s="1136"/>
      <c r="M50" s="1136"/>
      <c r="N50" s="1136"/>
      <c r="S50" s="268"/>
      <c r="T50" s="268"/>
    </row>
    <row r="51" spans="1:20" ht="15">
      <c r="D51" s="1148" t="s">
        <v>908</v>
      </c>
      <c r="E51" s="1148"/>
      <c r="F51" s="1148"/>
      <c r="G51" s="442"/>
      <c r="H51" s="268"/>
      <c r="I51" s="268"/>
      <c r="J51" s="268"/>
      <c r="K51" s="801" t="s">
        <v>84</v>
      </c>
      <c r="L51" s="801"/>
      <c r="M51" s="801"/>
      <c r="N51" s="801"/>
      <c r="S51" s="268"/>
      <c r="T51" s="268"/>
    </row>
    <row r="52" spans="1:20" ht="15">
      <c r="A52" s="440" t="s">
        <v>11</v>
      </c>
      <c r="B52" s="290"/>
      <c r="C52" s="443"/>
      <c r="D52" s="440"/>
      <c r="E52" s="440"/>
      <c r="F52" s="440"/>
      <c r="G52" s="440"/>
      <c r="H52" s="268"/>
      <c r="I52" s="268"/>
      <c r="J52" s="268"/>
      <c r="K52" s="268"/>
      <c r="L52" s="268"/>
      <c r="M52" s="268"/>
      <c r="N52" s="268"/>
      <c r="S52" s="268"/>
      <c r="T52" s="268"/>
    </row>
  </sheetData>
  <mergeCells count="22">
    <mergeCell ref="K51:N51"/>
    <mergeCell ref="K48:N48"/>
    <mergeCell ref="D50:F50"/>
    <mergeCell ref="K49:N49"/>
    <mergeCell ref="D51:F51"/>
    <mergeCell ref="K50:N50"/>
    <mergeCell ref="D49:F49"/>
    <mergeCell ref="O8:P8"/>
    <mergeCell ref="I8:N8"/>
    <mergeCell ref="A6:N6"/>
    <mergeCell ref="D1:E1"/>
    <mergeCell ref="M1:N1"/>
    <mergeCell ref="A2:N2"/>
    <mergeCell ref="A3:N3"/>
    <mergeCell ref="A4:N5"/>
    <mergeCell ref="C8:C9"/>
    <mergeCell ref="A7:B7"/>
    <mergeCell ref="H7:N7"/>
    <mergeCell ref="A8:A9"/>
    <mergeCell ref="B8:B9"/>
    <mergeCell ref="D8:D9"/>
    <mergeCell ref="E8:H8"/>
  </mergeCells>
  <printOptions horizontalCentered="1"/>
  <pageMargins left="0.70866141732283472" right="0.70866141732283472" top="0.23622047244094491" bottom="0" header="0.31496062992125984" footer="0.31496062992125984"/>
  <pageSetup paperSize="9" scale="81" orientation="landscape" r:id="rId1"/>
</worksheet>
</file>

<file path=xl/worksheets/sheet62.xml><?xml version="1.0" encoding="utf-8"?>
<worksheet xmlns="http://schemas.openxmlformats.org/spreadsheetml/2006/main" xmlns:r="http://schemas.openxmlformats.org/officeDocument/2006/relationships">
  <sheetPr codeName="Sheet62">
    <tabColor rgb="FF92D050"/>
    <pageSetUpPr fitToPage="1"/>
  </sheetPr>
  <dimension ref="A1:AG47"/>
  <sheetViews>
    <sheetView view="pageBreakPreview" topLeftCell="A4" zoomScaleNormal="110" zoomScaleSheetLayoutView="100" workbookViewId="0">
      <selection activeCell="C16" sqref="C16"/>
    </sheetView>
  </sheetViews>
  <sheetFormatPr defaultRowHeight="12.75"/>
  <cols>
    <col min="1" max="1" width="5.5703125" style="268" customWidth="1"/>
    <col min="2" max="2" width="19.85546875" style="268" customWidth="1"/>
    <col min="3" max="3" width="10.28515625" style="268" customWidth="1"/>
    <col min="4" max="4" width="11.7109375" style="268" customWidth="1"/>
    <col min="5" max="5" width="8.7109375" style="255" customWidth="1"/>
    <col min="6" max="7" width="8" style="255" customWidth="1"/>
    <col min="8" max="9" width="8.140625" style="255" customWidth="1"/>
    <col min="10" max="10" width="9.5703125" style="255" bestFit="1" customWidth="1"/>
    <col min="11" max="11" width="8.42578125" style="255" customWidth="1"/>
    <col min="12" max="12" width="8.140625" style="255" customWidth="1"/>
    <col min="13" max="14" width="7.7109375" style="255" bestFit="1" customWidth="1"/>
    <col min="15" max="15" width="9.140625" style="268"/>
    <col min="16" max="16" width="12" style="268" customWidth="1"/>
    <col min="17" max="16384" width="9.140625" style="255"/>
  </cols>
  <sheetData>
    <row r="1" spans="1:33" ht="12.75" customHeight="1">
      <c r="D1" s="1133"/>
      <c r="E1" s="1133"/>
      <c r="F1" s="268"/>
      <c r="G1" s="268"/>
      <c r="H1" s="268"/>
      <c r="I1" s="268"/>
      <c r="J1" s="268"/>
      <c r="K1" s="268"/>
      <c r="L1" s="268"/>
      <c r="M1" s="453" t="s">
        <v>658</v>
      </c>
      <c r="N1" s="453"/>
    </row>
    <row r="2" spans="1:33" ht="15.75">
      <c r="A2" s="1138" t="s">
        <v>0</v>
      </c>
      <c r="B2" s="1138"/>
      <c r="C2" s="1138"/>
      <c r="D2" s="1138"/>
      <c r="E2" s="1138"/>
      <c r="F2" s="1138"/>
      <c r="G2" s="1138"/>
      <c r="H2" s="1138"/>
      <c r="I2" s="1138"/>
      <c r="J2" s="1138"/>
      <c r="K2" s="1138"/>
      <c r="L2" s="1138"/>
      <c r="M2" s="1138"/>
      <c r="N2" s="1138"/>
    </row>
    <row r="3" spans="1:33" ht="18">
      <c r="A3" s="1139" t="s">
        <v>745</v>
      </c>
      <c r="B3" s="1139"/>
      <c r="C3" s="1139"/>
      <c r="D3" s="1139"/>
      <c r="E3" s="1139"/>
      <c r="F3" s="1139"/>
      <c r="G3" s="1139"/>
      <c r="H3" s="1139"/>
      <c r="I3" s="1139"/>
      <c r="J3" s="1139"/>
      <c r="K3" s="1139"/>
      <c r="L3" s="1139"/>
      <c r="M3" s="1139"/>
      <c r="N3" s="1139"/>
    </row>
    <row r="4" spans="1:33" ht="9.75" customHeight="1">
      <c r="A4" s="1159" t="s">
        <v>756</v>
      </c>
      <c r="B4" s="1159"/>
      <c r="C4" s="1159"/>
      <c r="D4" s="1159"/>
      <c r="E4" s="1159"/>
      <c r="F4" s="1159"/>
      <c r="G4" s="1159"/>
      <c r="H4" s="1159"/>
      <c r="I4" s="1159"/>
      <c r="J4" s="1159"/>
      <c r="K4" s="1159"/>
      <c r="L4" s="1159"/>
      <c r="M4" s="1159"/>
      <c r="N4" s="1159"/>
    </row>
    <row r="5" spans="1:33" s="256" customFormat="1" ht="18.75" customHeight="1">
      <c r="A5" s="1159"/>
      <c r="B5" s="1159"/>
      <c r="C5" s="1159"/>
      <c r="D5" s="1159"/>
      <c r="E5" s="1159"/>
      <c r="F5" s="1159"/>
      <c r="G5" s="1159"/>
      <c r="H5" s="1159"/>
      <c r="I5" s="1159"/>
      <c r="J5" s="1159"/>
      <c r="K5" s="1159"/>
      <c r="L5" s="1159"/>
      <c r="M5" s="1159"/>
      <c r="N5" s="1159"/>
      <c r="O5" s="323"/>
      <c r="P5" s="323"/>
    </row>
    <row r="6" spans="1:33">
      <c r="A6" s="1134"/>
      <c r="B6" s="1134"/>
      <c r="C6" s="1134"/>
      <c r="D6" s="1134"/>
      <c r="E6" s="1134"/>
      <c r="F6" s="1134"/>
      <c r="G6" s="1134"/>
      <c r="H6" s="1134"/>
      <c r="I6" s="1134"/>
      <c r="J6" s="1134"/>
      <c r="K6" s="1134"/>
      <c r="L6" s="1134"/>
      <c r="M6" s="1134"/>
      <c r="N6" s="1134"/>
    </row>
    <row r="7" spans="1:33">
      <c r="A7" s="1144" t="s">
        <v>911</v>
      </c>
      <c r="B7" s="1144"/>
      <c r="D7" s="301"/>
      <c r="E7" s="268"/>
      <c r="F7" s="268"/>
      <c r="G7" s="268"/>
      <c r="H7" s="1140"/>
      <c r="I7" s="1140"/>
      <c r="J7" s="1140"/>
      <c r="K7" s="1140"/>
      <c r="L7" s="1140"/>
      <c r="M7" s="1140"/>
      <c r="N7" s="1140"/>
    </row>
    <row r="8" spans="1:33" ht="46.5" customHeight="1">
      <c r="A8" s="1160" t="s">
        <v>2</v>
      </c>
      <c r="B8" s="1160" t="s">
        <v>3</v>
      </c>
      <c r="C8" s="1157" t="s">
        <v>489</v>
      </c>
      <c r="D8" s="1145" t="s">
        <v>85</v>
      </c>
      <c r="E8" s="1141" t="s">
        <v>86</v>
      </c>
      <c r="F8" s="1142"/>
      <c r="G8" s="1142"/>
      <c r="H8" s="1143"/>
      <c r="I8" s="1027" t="s">
        <v>653</v>
      </c>
      <c r="J8" s="1027"/>
      <c r="K8" s="1027"/>
      <c r="L8" s="1027"/>
      <c r="M8" s="1027"/>
      <c r="N8" s="1027"/>
      <c r="O8" s="1147" t="s">
        <v>708</v>
      </c>
      <c r="P8" s="1147"/>
    </row>
    <row r="9" spans="1:33" ht="44.45" customHeight="1">
      <c r="A9" s="1160"/>
      <c r="B9" s="1160"/>
      <c r="C9" s="1158"/>
      <c r="D9" s="1146"/>
      <c r="E9" s="315" t="s">
        <v>91</v>
      </c>
      <c r="F9" s="315" t="s">
        <v>997</v>
      </c>
      <c r="G9" s="315" t="s">
        <v>981</v>
      </c>
      <c r="H9" s="315" t="s">
        <v>687</v>
      </c>
      <c r="I9" s="321" t="s">
        <v>17</v>
      </c>
      <c r="J9" s="321" t="s">
        <v>959</v>
      </c>
      <c r="K9" s="321" t="s">
        <v>654</v>
      </c>
      <c r="L9" s="321" t="s">
        <v>655</v>
      </c>
      <c r="M9" s="321" t="s">
        <v>656</v>
      </c>
      <c r="N9" s="321" t="s">
        <v>657</v>
      </c>
      <c r="O9" s="334" t="s">
        <v>713</v>
      </c>
      <c r="P9" s="334" t="s">
        <v>711</v>
      </c>
    </row>
    <row r="10" spans="1:33" s="330" customFormat="1">
      <c r="A10" s="328">
        <v>1</v>
      </c>
      <c r="B10" s="328">
        <v>2</v>
      </c>
      <c r="C10" s="328">
        <v>3</v>
      </c>
      <c r="D10" s="328">
        <v>8</v>
      </c>
      <c r="E10" s="328">
        <v>9</v>
      </c>
      <c r="F10" s="328">
        <v>10</v>
      </c>
      <c r="G10" s="328">
        <v>11</v>
      </c>
      <c r="H10" s="328">
        <v>12</v>
      </c>
      <c r="I10" s="328">
        <v>9</v>
      </c>
      <c r="J10" s="328">
        <v>10</v>
      </c>
      <c r="K10" s="328">
        <v>11</v>
      </c>
      <c r="L10" s="328">
        <v>12</v>
      </c>
      <c r="M10" s="328">
        <v>13</v>
      </c>
      <c r="N10" s="328">
        <v>14</v>
      </c>
      <c r="O10" s="328">
        <v>15</v>
      </c>
      <c r="P10" s="328">
        <v>16</v>
      </c>
      <c r="Q10" s="255"/>
      <c r="R10" s="255"/>
      <c r="S10" s="255"/>
      <c r="T10" s="255"/>
      <c r="U10" s="255"/>
      <c r="V10" s="255"/>
      <c r="W10" s="255"/>
      <c r="X10" s="255"/>
      <c r="Y10" s="255"/>
      <c r="Z10" s="255"/>
      <c r="AA10" s="255"/>
      <c r="AB10" s="255"/>
      <c r="AC10" s="255"/>
      <c r="AD10" s="255"/>
      <c r="AE10" s="255"/>
      <c r="AF10" s="255"/>
      <c r="AG10" s="255"/>
    </row>
    <row r="11" spans="1:33">
      <c r="A11" s="272">
        <v>1</v>
      </c>
      <c r="B11" s="452" t="s">
        <v>1189</v>
      </c>
      <c r="C11" s="273">
        <f>58858+36363</f>
        <v>95221</v>
      </c>
      <c r="D11" s="302">
        <v>51</v>
      </c>
      <c r="E11" s="437">
        <f>F11+G11</f>
        <v>485.63</v>
      </c>
      <c r="F11" s="437">
        <f>ROUND(C11*43*100/1000000,2)</f>
        <v>409.45</v>
      </c>
      <c r="G11" s="437">
        <f>ROUND(C11*8*100/1000000,2)</f>
        <v>76.180000000000007</v>
      </c>
      <c r="H11" s="437">
        <v>0</v>
      </c>
      <c r="I11" s="437">
        <v>297.18</v>
      </c>
      <c r="J11" s="273">
        <v>297.18</v>
      </c>
      <c r="K11" s="437">
        <v>0</v>
      </c>
      <c r="L11" s="437">
        <v>0</v>
      </c>
      <c r="M11" s="437">
        <v>0</v>
      </c>
      <c r="N11" s="437">
        <v>0</v>
      </c>
      <c r="O11" s="273">
        <v>150</v>
      </c>
      <c r="P11" s="437">
        <v>22.29</v>
      </c>
    </row>
    <row r="12" spans="1:33">
      <c r="A12" s="272">
        <v>2</v>
      </c>
      <c r="B12" s="452" t="s">
        <v>963</v>
      </c>
      <c r="C12" s="273">
        <v>48306</v>
      </c>
      <c r="D12" s="302">
        <v>51</v>
      </c>
      <c r="E12" s="437">
        <f t="shared" ref="E12:E28" si="0">F12+G12</f>
        <v>246.36</v>
      </c>
      <c r="F12" s="437">
        <f t="shared" ref="F12:F29" si="1">ROUND(C12*43*100/1000000,2)</f>
        <v>207.72</v>
      </c>
      <c r="G12" s="437">
        <f t="shared" ref="G12:G29" si="2">ROUND(C12*8*100/1000000,2)</f>
        <v>38.64</v>
      </c>
      <c r="H12" s="437">
        <v>0</v>
      </c>
      <c r="I12" s="437">
        <f t="shared" ref="I12:I28" si="3">J12+K12+L12+M12+N12</f>
        <v>49.27</v>
      </c>
      <c r="J12" s="273">
        <f t="shared" ref="J12:J28" si="4">ROUND(C12*D12*20/1000000,2)</f>
        <v>49.27</v>
      </c>
      <c r="K12" s="437">
        <v>0</v>
      </c>
      <c r="L12" s="437">
        <v>0</v>
      </c>
      <c r="M12" s="437">
        <v>0</v>
      </c>
      <c r="N12" s="437">
        <v>0</v>
      </c>
      <c r="O12" s="273">
        <v>150</v>
      </c>
      <c r="P12" s="437">
        <f t="shared" ref="P12:P28" si="5">ROUND(E12*1500/100000,2)</f>
        <v>3.7</v>
      </c>
    </row>
    <row r="13" spans="1:33">
      <c r="A13" s="272">
        <v>3</v>
      </c>
      <c r="B13" s="452" t="s">
        <v>964</v>
      </c>
      <c r="C13" s="273">
        <v>10379</v>
      </c>
      <c r="D13" s="302">
        <v>51</v>
      </c>
      <c r="E13" s="437">
        <f t="shared" si="0"/>
        <v>52.930000000000007</v>
      </c>
      <c r="F13" s="437">
        <f t="shared" si="1"/>
        <v>44.63</v>
      </c>
      <c r="G13" s="437">
        <f t="shared" si="2"/>
        <v>8.3000000000000007</v>
      </c>
      <c r="H13" s="437">
        <v>0</v>
      </c>
      <c r="I13" s="437">
        <f t="shared" si="3"/>
        <v>10.59</v>
      </c>
      <c r="J13" s="273">
        <f t="shared" si="4"/>
        <v>10.59</v>
      </c>
      <c r="K13" s="437">
        <v>0</v>
      </c>
      <c r="L13" s="437">
        <v>0</v>
      </c>
      <c r="M13" s="437">
        <v>0</v>
      </c>
      <c r="N13" s="437">
        <v>0</v>
      </c>
      <c r="O13" s="273">
        <v>150</v>
      </c>
      <c r="P13" s="437">
        <f t="shared" si="5"/>
        <v>0.79</v>
      </c>
    </row>
    <row r="14" spans="1:33">
      <c r="A14" s="272">
        <v>4</v>
      </c>
      <c r="B14" s="452" t="s">
        <v>965</v>
      </c>
      <c r="C14" s="273">
        <v>20949</v>
      </c>
      <c r="D14" s="302">
        <v>51</v>
      </c>
      <c r="E14" s="437">
        <f t="shared" si="0"/>
        <v>106.84</v>
      </c>
      <c r="F14" s="437">
        <f t="shared" si="1"/>
        <v>90.08</v>
      </c>
      <c r="G14" s="437">
        <f t="shared" si="2"/>
        <v>16.760000000000002</v>
      </c>
      <c r="H14" s="437">
        <v>0</v>
      </c>
      <c r="I14" s="437">
        <f t="shared" si="3"/>
        <v>21.37</v>
      </c>
      <c r="J14" s="273">
        <f t="shared" si="4"/>
        <v>21.37</v>
      </c>
      <c r="K14" s="437">
        <v>0</v>
      </c>
      <c r="L14" s="437">
        <v>0</v>
      </c>
      <c r="M14" s="437">
        <v>0</v>
      </c>
      <c r="N14" s="437">
        <v>0</v>
      </c>
      <c r="O14" s="273">
        <v>150</v>
      </c>
      <c r="P14" s="437">
        <f t="shared" si="5"/>
        <v>1.6</v>
      </c>
    </row>
    <row r="15" spans="1:33">
      <c r="A15" s="272">
        <v>5</v>
      </c>
      <c r="B15" s="452" t="s">
        <v>966</v>
      </c>
      <c r="C15" s="273">
        <v>19518</v>
      </c>
      <c r="D15" s="302">
        <v>51</v>
      </c>
      <c r="E15" s="437">
        <f t="shared" si="0"/>
        <v>99.54</v>
      </c>
      <c r="F15" s="437">
        <f t="shared" si="1"/>
        <v>83.93</v>
      </c>
      <c r="G15" s="437">
        <f t="shared" si="2"/>
        <v>15.61</v>
      </c>
      <c r="H15" s="437">
        <v>0</v>
      </c>
      <c r="I15" s="437">
        <f t="shared" si="3"/>
        <v>19.91</v>
      </c>
      <c r="J15" s="273">
        <f t="shared" si="4"/>
        <v>19.91</v>
      </c>
      <c r="K15" s="437">
        <v>0</v>
      </c>
      <c r="L15" s="437">
        <v>0</v>
      </c>
      <c r="M15" s="437">
        <v>0</v>
      </c>
      <c r="N15" s="437">
        <v>0</v>
      </c>
      <c r="O15" s="273">
        <v>150</v>
      </c>
      <c r="P15" s="437">
        <f t="shared" si="5"/>
        <v>1.49</v>
      </c>
    </row>
    <row r="16" spans="1:33">
      <c r="A16" s="272">
        <v>6</v>
      </c>
      <c r="B16" s="452" t="s">
        <v>967</v>
      </c>
      <c r="C16" s="273">
        <v>45847</v>
      </c>
      <c r="D16" s="302">
        <v>51</v>
      </c>
      <c r="E16" s="437">
        <f t="shared" si="0"/>
        <v>233.82</v>
      </c>
      <c r="F16" s="437">
        <f t="shared" si="1"/>
        <v>197.14</v>
      </c>
      <c r="G16" s="437">
        <f t="shared" si="2"/>
        <v>36.68</v>
      </c>
      <c r="H16" s="437">
        <v>0</v>
      </c>
      <c r="I16" s="437">
        <f t="shared" si="3"/>
        <v>46.76</v>
      </c>
      <c r="J16" s="273">
        <f t="shared" si="4"/>
        <v>46.76</v>
      </c>
      <c r="K16" s="437">
        <v>0</v>
      </c>
      <c r="L16" s="437">
        <v>0</v>
      </c>
      <c r="M16" s="437">
        <v>0</v>
      </c>
      <c r="N16" s="437">
        <v>0</v>
      </c>
      <c r="O16" s="273">
        <v>150</v>
      </c>
      <c r="P16" s="437">
        <f t="shared" si="5"/>
        <v>3.51</v>
      </c>
    </row>
    <row r="17" spans="1:20">
      <c r="A17" s="272">
        <v>7</v>
      </c>
      <c r="B17" s="452" t="s">
        <v>968</v>
      </c>
      <c r="C17" s="273">
        <v>16973</v>
      </c>
      <c r="D17" s="302">
        <v>51</v>
      </c>
      <c r="E17" s="437">
        <f t="shared" si="0"/>
        <v>86.56</v>
      </c>
      <c r="F17" s="437">
        <f t="shared" si="1"/>
        <v>72.98</v>
      </c>
      <c r="G17" s="437">
        <f t="shared" si="2"/>
        <v>13.58</v>
      </c>
      <c r="H17" s="437">
        <v>0</v>
      </c>
      <c r="I17" s="437">
        <f t="shared" si="3"/>
        <v>17.309999999999999</v>
      </c>
      <c r="J17" s="273">
        <f t="shared" si="4"/>
        <v>17.309999999999999</v>
      </c>
      <c r="K17" s="437">
        <v>0</v>
      </c>
      <c r="L17" s="437">
        <v>0</v>
      </c>
      <c r="M17" s="437">
        <v>0</v>
      </c>
      <c r="N17" s="437">
        <v>0</v>
      </c>
      <c r="O17" s="273">
        <v>150</v>
      </c>
      <c r="P17" s="437">
        <f t="shared" si="5"/>
        <v>1.3</v>
      </c>
    </row>
    <row r="18" spans="1:20">
      <c r="A18" s="272">
        <v>8</v>
      </c>
      <c r="B18" s="452" t="s">
        <v>1190</v>
      </c>
      <c r="C18" s="273">
        <f>27819+41409</f>
        <v>69228</v>
      </c>
      <c r="D18" s="302">
        <v>51</v>
      </c>
      <c r="E18" s="437">
        <f t="shared" si="0"/>
        <v>353.06</v>
      </c>
      <c r="F18" s="437">
        <f t="shared" si="1"/>
        <v>297.68</v>
      </c>
      <c r="G18" s="437">
        <f t="shared" si="2"/>
        <v>55.38</v>
      </c>
      <c r="H18" s="437">
        <v>0</v>
      </c>
      <c r="I18" s="437">
        <v>51.2</v>
      </c>
      <c r="J18" s="273">
        <v>51.2</v>
      </c>
      <c r="K18" s="437">
        <v>0</v>
      </c>
      <c r="L18" s="437">
        <v>0</v>
      </c>
      <c r="M18" s="437">
        <v>0</v>
      </c>
      <c r="N18" s="437">
        <v>0</v>
      </c>
      <c r="O18" s="273">
        <v>300</v>
      </c>
      <c r="P18" s="437">
        <v>3.84</v>
      </c>
    </row>
    <row r="19" spans="1:20">
      <c r="A19" s="272">
        <v>9</v>
      </c>
      <c r="B19" s="452" t="s">
        <v>971</v>
      </c>
      <c r="C19" s="273">
        <v>13438</v>
      </c>
      <c r="D19" s="302">
        <v>51</v>
      </c>
      <c r="E19" s="437">
        <f t="shared" si="0"/>
        <v>68.53</v>
      </c>
      <c r="F19" s="437">
        <f t="shared" si="1"/>
        <v>57.78</v>
      </c>
      <c r="G19" s="437">
        <f t="shared" si="2"/>
        <v>10.75</v>
      </c>
      <c r="H19" s="437">
        <v>0</v>
      </c>
      <c r="I19" s="437">
        <f t="shared" si="3"/>
        <v>13.71</v>
      </c>
      <c r="J19" s="273">
        <f t="shared" si="4"/>
        <v>13.71</v>
      </c>
      <c r="K19" s="437">
        <v>0</v>
      </c>
      <c r="L19" s="437">
        <v>0</v>
      </c>
      <c r="M19" s="437">
        <v>0</v>
      </c>
      <c r="N19" s="437">
        <v>0</v>
      </c>
      <c r="O19" s="273">
        <v>150</v>
      </c>
      <c r="P19" s="437">
        <f t="shared" si="5"/>
        <v>1.03</v>
      </c>
    </row>
    <row r="20" spans="1:20">
      <c r="A20" s="272">
        <v>10</v>
      </c>
      <c r="B20" s="452" t="s">
        <v>972</v>
      </c>
      <c r="C20" s="273">
        <v>6306</v>
      </c>
      <c r="D20" s="302">
        <v>51</v>
      </c>
      <c r="E20" s="437">
        <f t="shared" si="0"/>
        <v>32.160000000000004</v>
      </c>
      <c r="F20" s="437">
        <f t="shared" si="1"/>
        <v>27.12</v>
      </c>
      <c r="G20" s="437">
        <f t="shared" si="2"/>
        <v>5.04</v>
      </c>
      <c r="H20" s="437">
        <v>0</v>
      </c>
      <c r="I20" s="437">
        <f t="shared" si="3"/>
        <v>6.43</v>
      </c>
      <c r="J20" s="273">
        <f t="shared" si="4"/>
        <v>6.43</v>
      </c>
      <c r="K20" s="437">
        <v>0</v>
      </c>
      <c r="L20" s="437">
        <v>0</v>
      </c>
      <c r="M20" s="437">
        <v>0</v>
      </c>
      <c r="N20" s="437">
        <v>0</v>
      </c>
      <c r="O20" s="273">
        <v>150</v>
      </c>
      <c r="P20" s="437">
        <f t="shared" si="5"/>
        <v>0.48</v>
      </c>
    </row>
    <row r="21" spans="1:20">
      <c r="A21" s="272">
        <v>11</v>
      </c>
      <c r="B21" s="452" t="s">
        <v>1216</v>
      </c>
      <c r="C21" s="273">
        <v>23847</v>
      </c>
      <c r="D21" s="302">
        <v>51</v>
      </c>
      <c r="E21" s="437">
        <f t="shared" si="0"/>
        <v>121.62</v>
      </c>
      <c r="F21" s="437">
        <f t="shared" si="1"/>
        <v>102.54</v>
      </c>
      <c r="G21" s="437">
        <f t="shared" si="2"/>
        <v>19.079999999999998</v>
      </c>
      <c r="H21" s="437">
        <v>0</v>
      </c>
      <c r="I21" s="437">
        <f t="shared" si="3"/>
        <v>24.32</v>
      </c>
      <c r="J21" s="273">
        <f t="shared" si="4"/>
        <v>24.32</v>
      </c>
      <c r="K21" s="437">
        <v>0</v>
      </c>
      <c r="L21" s="437">
        <v>0</v>
      </c>
      <c r="M21" s="437">
        <v>0</v>
      </c>
      <c r="N21" s="437">
        <v>0</v>
      </c>
      <c r="O21" s="273">
        <v>150</v>
      </c>
      <c r="P21" s="437">
        <f t="shared" si="5"/>
        <v>1.82</v>
      </c>
    </row>
    <row r="22" spans="1:20">
      <c r="A22" s="272">
        <v>12</v>
      </c>
      <c r="B22" s="452" t="s">
        <v>974</v>
      </c>
      <c r="C22" s="273">
        <v>69743</v>
      </c>
      <c r="D22" s="302">
        <v>51</v>
      </c>
      <c r="E22" s="437">
        <f t="shared" si="0"/>
        <v>355.68</v>
      </c>
      <c r="F22" s="437">
        <f t="shared" si="1"/>
        <v>299.89</v>
      </c>
      <c r="G22" s="437">
        <f t="shared" si="2"/>
        <v>55.79</v>
      </c>
      <c r="H22" s="437">
        <v>0</v>
      </c>
      <c r="I22" s="437">
        <f t="shared" si="3"/>
        <v>71.14</v>
      </c>
      <c r="J22" s="273">
        <f t="shared" si="4"/>
        <v>71.14</v>
      </c>
      <c r="K22" s="437">
        <v>0</v>
      </c>
      <c r="L22" s="437">
        <v>0</v>
      </c>
      <c r="M22" s="437">
        <v>0</v>
      </c>
      <c r="N22" s="437">
        <v>0</v>
      </c>
      <c r="O22" s="273">
        <v>150</v>
      </c>
      <c r="P22" s="437">
        <f t="shared" si="5"/>
        <v>5.34</v>
      </c>
    </row>
    <row r="23" spans="1:20">
      <c r="A23" s="272">
        <v>13</v>
      </c>
      <c r="B23" s="452" t="s">
        <v>975</v>
      </c>
      <c r="C23" s="273">
        <v>145073</v>
      </c>
      <c r="D23" s="302">
        <v>51</v>
      </c>
      <c r="E23" s="437">
        <f t="shared" si="0"/>
        <v>739.86999999999989</v>
      </c>
      <c r="F23" s="437">
        <f t="shared" si="1"/>
        <v>623.80999999999995</v>
      </c>
      <c r="G23" s="437">
        <f t="shared" si="2"/>
        <v>116.06</v>
      </c>
      <c r="H23" s="437">
        <v>0</v>
      </c>
      <c r="I23" s="437">
        <f t="shared" si="3"/>
        <v>147.97</v>
      </c>
      <c r="J23" s="273">
        <f t="shared" si="4"/>
        <v>147.97</v>
      </c>
      <c r="K23" s="437">
        <v>0</v>
      </c>
      <c r="L23" s="437">
        <v>0</v>
      </c>
      <c r="M23" s="437">
        <v>0</v>
      </c>
      <c r="N23" s="437">
        <v>0</v>
      </c>
      <c r="O23" s="273">
        <v>150</v>
      </c>
      <c r="P23" s="437">
        <f t="shared" si="5"/>
        <v>11.1</v>
      </c>
      <c r="S23" s="268"/>
      <c r="T23" s="268"/>
    </row>
    <row r="24" spans="1:20">
      <c r="A24" s="272">
        <v>14</v>
      </c>
      <c r="B24" s="452" t="s">
        <v>976</v>
      </c>
      <c r="C24" s="273">
        <v>96831</v>
      </c>
      <c r="D24" s="302">
        <v>51</v>
      </c>
      <c r="E24" s="437">
        <f t="shared" si="0"/>
        <v>493.83</v>
      </c>
      <c r="F24" s="437">
        <f t="shared" si="1"/>
        <v>416.37</v>
      </c>
      <c r="G24" s="437">
        <f t="shared" si="2"/>
        <v>77.459999999999994</v>
      </c>
      <c r="H24" s="437">
        <v>0</v>
      </c>
      <c r="I24" s="437">
        <f t="shared" si="3"/>
        <v>98.77</v>
      </c>
      <c r="J24" s="273">
        <f t="shared" si="4"/>
        <v>98.77</v>
      </c>
      <c r="K24" s="437">
        <v>0</v>
      </c>
      <c r="L24" s="437">
        <v>0</v>
      </c>
      <c r="M24" s="437">
        <v>0</v>
      </c>
      <c r="N24" s="437">
        <v>0</v>
      </c>
      <c r="O24" s="273">
        <v>150</v>
      </c>
      <c r="P24" s="437">
        <f t="shared" si="5"/>
        <v>7.41</v>
      </c>
      <c r="S24" s="268"/>
      <c r="T24" s="268"/>
    </row>
    <row r="25" spans="1:20">
      <c r="A25" s="272">
        <v>15</v>
      </c>
      <c r="B25" s="452" t="s">
        <v>977</v>
      </c>
      <c r="C25" s="273">
        <v>59121</v>
      </c>
      <c r="D25" s="302">
        <v>51</v>
      </c>
      <c r="E25" s="437">
        <f t="shared" si="0"/>
        <v>301.52</v>
      </c>
      <c r="F25" s="437">
        <f t="shared" si="1"/>
        <v>254.22</v>
      </c>
      <c r="G25" s="437">
        <f t="shared" si="2"/>
        <v>47.3</v>
      </c>
      <c r="H25" s="437">
        <v>0</v>
      </c>
      <c r="I25" s="437">
        <f t="shared" si="3"/>
        <v>60.3</v>
      </c>
      <c r="J25" s="273">
        <f t="shared" si="4"/>
        <v>60.3</v>
      </c>
      <c r="K25" s="437">
        <v>0</v>
      </c>
      <c r="L25" s="437">
        <v>0</v>
      </c>
      <c r="M25" s="437">
        <v>0</v>
      </c>
      <c r="N25" s="437">
        <v>0</v>
      </c>
      <c r="O25" s="273">
        <v>150</v>
      </c>
      <c r="P25" s="437">
        <f t="shared" si="5"/>
        <v>4.5199999999999996</v>
      </c>
      <c r="S25" s="268"/>
      <c r="T25" s="268"/>
    </row>
    <row r="26" spans="1:20">
      <c r="A26" s="272">
        <v>16</v>
      </c>
      <c r="B26" s="452" t="s">
        <v>978</v>
      </c>
      <c r="C26" s="273">
        <v>30631</v>
      </c>
      <c r="D26" s="302">
        <v>51</v>
      </c>
      <c r="E26" s="437">
        <f t="shared" si="0"/>
        <v>156.21</v>
      </c>
      <c r="F26" s="437">
        <f t="shared" si="1"/>
        <v>131.71</v>
      </c>
      <c r="G26" s="437">
        <f t="shared" si="2"/>
        <v>24.5</v>
      </c>
      <c r="H26" s="437">
        <v>0</v>
      </c>
      <c r="I26" s="437">
        <f t="shared" si="3"/>
        <v>31.24</v>
      </c>
      <c r="J26" s="273">
        <f t="shared" si="4"/>
        <v>31.24</v>
      </c>
      <c r="K26" s="437">
        <v>0</v>
      </c>
      <c r="L26" s="437">
        <v>0</v>
      </c>
      <c r="M26" s="437">
        <v>0</v>
      </c>
      <c r="N26" s="437">
        <v>0</v>
      </c>
      <c r="O26" s="273">
        <v>150</v>
      </c>
      <c r="P26" s="437">
        <f t="shared" si="5"/>
        <v>2.34</v>
      </c>
      <c r="S26" s="268"/>
      <c r="T26" s="268"/>
    </row>
    <row r="27" spans="1:20">
      <c r="A27" s="272">
        <v>17</v>
      </c>
      <c r="B27" s="452" t="s">
        <v>979</v>
      </c>
      <c r="C27" s="273">
        <v>83994</v>
      </c>
      <c r="D27" s="302">
        <v>51</v>
      </c>
      <c r="E27" s="437">
        <f t="shared" si="0"/>
        <v>428.37</v>
      </c>
      <c r="F27" s="437">
        <f t="shared" si="1"/>
        <v>361.17</v>
      </c>
      <c r="G27" s="437">
        <f t="shared" si="2"/>
        <v>67.2</v>
      </c>
      <c r="H27" s="437">
        <v>0</v>
      </c>
      <c r="I27" s="437">
        <f t="shared" si="3"/>
        <v>85.67</v>
      </c>
      <c r="J27" s="273">
        <f t="shared" si="4"/>
        <v>85.67</v>
      </c>
      <c r="K27" s="437">
        <v>0</v>
      </c>
      <c r="L27" s="437">
        <v>0</v>
      </c>
      <c r="M27" s="437">
        <v>0</v>
      </c>
      <c r="N27" s="437">
        <v>0</v>
      </c>
      <c r="O27" s="273">
        <v>150</v>
      </c>
      <c r="P27" s="437">
        <f t="shared" si="5"/>
        <v>6.43</v>
      </c>
    </row>
    <row r="28" spans="1:20">
      <c r="A28" s="272">
        <v>18</v>
      </c>
      <c r="B28" s="452" t="s">
        <v>980</v>
      </c>
      <c r="C28" s="273">
        <v>30240</v>
      </c>
      <c r="D28" s="302">
        <v>51</v>
      </c>
      <c r="E28" s="437">
        <f t="shared" si="0"/>
        <v>154.22</v>
      </c>
      <c r="F28" s="437">
        <f t="shared" si="1"/>
        <v>130.03</v>
      </c>
      <c r="G28" s="437">
        <f t="shared" si="2"/>
        <v>24.19</v>
      </c>
      <c r="H28" s="437">
        <v>0</v>
      </c>
      <c r="I28" s="437">
        <f t="shared" si="3"/>
        <v>30.84</v>
      </c>
      <c r="J28" s="273">
        <f t="shared" si="4"/>
        <v>30.84</v>
      </c>
      <c r="K28" s="437">
        <v>0</v>
      </c>
      <c r="L28" s="437">
        <v>0</v>
      </c>
      <c r="M28" s="437">
        <v>0</v>
      </c>
      <c r="N28" s="437">
        <v>0</v>
      </c>
      <c r="O28" s="273">
        <v>150</v>
      </c>
      <c r="P28" s="437">
        <f t="shared" si="5"/>
        <v>2.31</v>
      </c>
    </row>
    <row r="29" spans="1:20">
      <c r="A29" s="272" t="s">
        <v>17</v>
      </c>
      <c r="B29" s="399"/>
      <c r="C29" s="399">
        <f>SUM(C11:C28)</f>
        <v>885645</v>
      </c>
      <c r="D29" s="438"/>
      <c r="E29" s="439">
        <f>SUM(E11:E28)</f>
        <v>4516.75</v>
      </c>
      <c r="F29" s="439">
        <f t="shared" si="1"/>
        <v>3808.27</v>
      </c>
      <c r="G29" s="439">
        <f t="shared" si="2"/>
        <v>708.52</v>
      </c>
      <c r="H29" s="439">
        <f>SUM(H11:H28)</f>
        <v>0</v>
      </c>
      <c r="I29" s="439">
        <f t="shared" ref="I29:N29" si="6">SUM(I11:I28)</f>
        <v>1083.98</v>
      </c>
      <c r="J29" s="439">
        <f t="shared" si="6"/>
        <v>1083.98</v>
      </c>
      <c r="K29" s="439">
        <f t="shared" si="6"/>
        <v>0</v>
      </c>
      <c r="L29" s="439">
        <f t="shared" si="6"/>
        <v>0</v>
      </c>
      <c r="M29" s="439">
        <f t="shared" si="6"/>
        <v>0</v>
      </c>
      <c r="N29" s="439">
        <f t="shared" si="6"/>
        <v>0</v>
      </c>
      <c r="O29" s="439"/>
      <c r="P29" s="439">
        <f t="shared" ref="P29" si="7">SUM(P11:P28)</f>
        <v>81.300000000000011</v>
      </c>
    </row>
    <row r="30" spans="1:20">
      <c r="A30" s="275"/>
      <c r="B30" s="275"/>
      <c r="C30" s="275"/>
      <c r="D30" s="275"/>
      <c r="E30" s="268"/>
      <c r="F30" s="268"/>
      <c r="G30" s="268"/>
      <c r="H30" s="268"/>
      <c r="I30" s="268"/>
      <c r="J30" s="268"/>
      <c r="K30" s="268"/>
      <c r="L30" s="268"/>
      <c r="M30" s="268"/>
      <c r="N30" s="268"/>
    </row>
    <row r="31" spans="1:20">
      <c r="A31" s="276"/>
      <c r="B31" s="277"/>
      <c r="C31" s="275"/>
      <c r="D31" s="275"/>
      <c r="E31" s="275"/>
      <c r="F31" s="268"/>
      <c r="G31" s="268"/>
      <c r="H31" s="268"/>
      <c r="I31" s="268"/>
      <c r="J31" s="712"/>
      <c r="K31" s="268"/>
      <c r="L31" s="268"/>
      <c r="M31" s="268"/>
      <c r="N31" s="268"/>
    </row>
    <row r="32" spans="1:20">
      <c r="A32" s="278"/>
      <c r="B32" s="278"/>
      <c r="E32" s="268"/>
      <c r="F32" s="268"/>
      <c r="G32" s="268"/>
      <c r="H32" s="268"/>
      <c r="I32" s="268"/>
      <c r="J32" s="268"/>
      <c r="K32" s="268"/>
      <c r="L32" s="268"/>
      <c r="M32" s="268"/>
      <c r="N32" s="268"/>
    </row>
    <row r="33" spans="1:16" ht="15">
      <c r="D33" s="1133" t="s">
        <v>906</v>
      </c>
      <c r="E33" s="1133"/>
      <c r="F33" s="1133"/>
      <c r="G33" s="440"/>
      <c r="H33" s="268"/>
      <c r="I33" s="268"/>
      <c r="J33" s="268"/>
      <c r="K33" s="1136" t="s">
        <v>12</v>
      </c>
      <c r="L33" s="1136"/>
      <c r="M33" s="1136"/>
      <c r="N33" s="1136"/>
    </row>
    <row r="34" spans="1:16" ht="15">
      <c r="D34" s="1148" t="s">
        <v>907</v>
      </c>
      <c r="E34" s="1148"/>
      <c r="F34" s="1148"/>
      <c r="G34" s="442"/>
      <c r="H34" s="268"/>
      <c r="I34" s="268"/>
      <c r="J34" s="268"/>
      <c r="K34" s="1136" t="s">
        <v>13</v>
      </c>
      <c r="L34" s="1136"/>
      <c r="M34" s="1136"/>
      <c r="N34" s="1136"/>
    </row>
    <row r="35" spans="1:16" ht="15">
      <c r="D35" s="1148" t="s">
        <v>908</v>
      </c>
      <c r="E35" s="1148"/>
      <c r="F35" s="1148"/>
      <c r="G35" s="442"/>
      <c r="H35" s="268"/>
      <c r="I35" s="268"/>
      <c r="J35" s="268"/>
      <c r="K35" s="1136" t="s">
        <v>18</v>
      </c>
      <c r="L35" s="1136"/>
      <c r="M35" s="1136"/>
      <c r="N35" s="1136"/>
    </row>
    <row r="36" spans="1:16" ht="15">
      <c r="A36" s="440" t="s">
        <v>11</v>
      </c>
      <c r="B36" s="290"/>
      <c r="C36" s="443"/>
      <c r="D36" s="440"/>
      <c r="E36" s="440"/>
      <c r="F36" s="440"/>
      <c r="G36" s="440"/>
      <c r="H36" s="268"/>
      <c r="I36" s="268"/>
      <c r="J36" s="268"/>
      <c r="K36" s="801" t="s">
        <v>84</v>
      </c>
      <c r="L36" s="801"/>
      <c r="M36" s="801"/>
      <c r="N36" s="801"/>
    </row>
    <row r="37" spans="1:16" ht="12.75" customHeight="1">
      <c r="A37" s="255"/>
      <c r="B37" s="255"/>
      <c r="C37" s="255"/>
      <c r="D37" s="255"/>
      <c r="O37" s="255"/>
      <c r="P37" s="255"/>
    </row>
    <row r="38" spans="1:16" ht="12.75" customHeight="1">
      <c r="A38" s="255"/>
      <c r="B38" s="255"/>
      <c r="C38" s="255"/>
      <c r="D38" s="255"/>
      <c r="O38" s="255"/>
      <c r="P38" s="255"/>
    </row>
    <row r="39" spans="1:16">
      <c r="A39" s="255"/>
      <c r="B39" s="255"/>
      <c r="C39" s="255"/>
      <c r="D39" s="255"/>
      <c r="O39" s="255"/>
      <c r="P39" s="255"/>
    </row>
    <row r="40" spans="1:16">
      <c r="A40" s="255"/>
      <c r="B40" s="255"/>
      <c r="C40" s="255"/>
      <c r="D40" s="255"/>
      <c r="O40" s="255"/>
      <c r="P40" s="255"/>
    </row>
    <row r="41" spans="1:16">
      <c r="A41" s="255"/>
      <c r="B41" s="255"/>
      <c r="C41" s="255"/>
      <c r="D41" s="255"/>
      <c r="O41" s="255"/>
      <c r="P41" s="255"/>
    </row>
    <row r="42" spans="1:16">
      <c r="A42" s="255"/>
      <c r="B42" s="255"/>
      <c r="C42" s="255"/>
      <c r="D42" s="255"/>
      <c r="O42" s="255"/>
      <c r="P42" s="255"/>
    </row>
    <row r="43" spans="1:16">
      <c r="A43" s="255"/>
      <c r="B43" s="255"/>
      <c r="C43" s="255"/>
      <c r="D43" s="255"/>
      <c r="O43" s="255"/>
      <c r="P43" s="255"/>
    </row>
    <row r="44" spans="1:16">
      <c r="A44" s="255"/>
      <c r="B44" s="255"/>
      <c r="C44" s="255"/>
      <c r="D44" s="255"/>
      <c r="O44" s="255"/>
      <c r="P44" s="255"/>
    </row>
    <row r="45" spans="1:16">
      <c r="A45" s="255"/>
      <c r="B45" s="255"/>
      <c r="C45" s="255"/>
      <c r="D45" s="255"/>
      <c r="O45" s="255"/>
      <c r="P45" s="255"/>
    </row>
    <row r="46" spans="1:16">
      <c r="A46" s="255"/>
      <c r="B46" s="255"/>
      <c r="C46" s="255"/>
      <c r="D46" s="255"/>
      <c r="O46" s="255"/>
      <c r="P46" s="255"/>
    </row>
    <row r="47" spans="1:16">
      <c r="A47" s="255"/>
      <c r="B47" s="255"/>
      <c r="C47" s="255"/>
      <c r="D47" s="255"/>
      <c r="O47" s="255"/>
      <c r="P47" s="255"/>
    </row>
  </sheetData>
  <mergeCells count="21">
    <mergeCell ref="K36:N36"/>
    <mergeCell ref="K33:N33"/>
    <mergeCell ref="D34:F34"/>
    <mergeCell ref="K34:N34"/>
    <mergeCell ref="D35:F35"/>
    <mergeCell ref="K35:N35"/>
    <mergeCell ref="D33:F33"/>
    <mergeCell ref="O8:P8"/>
    <mergeCell ref="I8:N8"/>
    <mergeCell ref="A6:N6"/>
    <mergeCell ref="D1:E1"/>
    <mergeCell ref="A2:N2"/>
    <mergeCell ref="A3:N3"/>
    <mergeCell ref="A4:N5"/>
    <mergeCell ref="C8:C9"/>
    <mergeCell ref="A7:B7"/>
    <mergeCell ref="H7:N7"/>
    <mergeCell ref="A8:A9"/>
    <mergeCell ref="B8:B9"/>
    <mergeCell ref="D8:D9"/>
    <mergeCell ref="E8:H8"/>
  </mergeCells>
  <printOptions horizontalCentered="1"/>
  <pageMargins left="0.70866141732283472" right="0.70866141732283472" top="0.23622047244094491" bottom="0" header="0.31496062992125984" footer="0.31496062992125984"/>
  <pageSetup paperSize="9" scale="88" orientation="landscape" r:id="rId1"/>
</worksheet>
</file>

<file path=xl/worksheets/sheet63.xml><?xml version="1.0" encoding="utf-8"?>
<worksheet xmlns="http://schemas.openxmlformats.org/spreadsheetml/2006/main" xmlns:r="http://schemas.openxmlformats.org/officeDocument/2006/relationships">
  <sheetPr codeName="Sheet63">
    <tabColor rgb="FF92D050"/>
    <pageSetUpPr fitToPage="1"/>
  </sheetPr>
  <dimension ref="A1:AD41"/>
  <sheetViews>
    <sheetView view="pageBreakPreview" zoomScaleSheetLayoutView="100" workbookViewId="0">
      <selection activeCell="C26" sqref="C26:C28"/>
    </sheetView>
  </sheetViews>
  <sheetFormatPr defaultRowHeight="12.75"/>
  <cols>
    <col min="1" max="1" width="5.5703125" style="268" customWidth="1"/>
    <col min="2" max="2" width="20.28515625" style="268" customWidth="1"/>
    <col min="3" max="3" width="10.28515625" style="268" customWidth="1"/>
    <col min="4" max="4" width="11.140625" style="268" customWidth="1"/>
    <col min="5" max="5" width="8.7109375" style="255" customWidth="1"/>
    <col min="6" max="7" width="8" style="255" customWidth="1"/>
    <col min="8" max="10" width="8.140625" style="255" customWidth="1"/>
    <col min="11" max="11" width="8.42578125" style="255" customWidth="1"/>
    <col min="12" max="12" width="8.140625" style="255" customWidth="1"/>
    <col min="13" max="13" width="9.28515625" style="255" customWidth="1"/>
    <col min="14" max="14" width="8.7109375" style="255" customWidth="1"/>
    <col min="15" max="15" width="9.140625" style="268"/>
    <col min="16" max="16" width="13" style="268" customWidth="1"/>
    <col min="17" max="16384" width="9.140625" style="255"/>
  </cols>
  <sheetData>
    <row r="1" spans="1:30" ht="12.75" customHeight="1">
      <c r="D1" s="1133"/>
      <c r="E1" s="1133"/>
      <c r="F1" s="268"/>
      <c r="G1" s="268"/>
      <c r="H1" s="268"/>
      <c r="I1" s="268"/>
      <c r="J1" s="268"/>
      <c r="K1" s="268"/>
      <c r="L1" s="268"/>
      <c r="M1" s="1135" t="s">
        <v>671</v>
      </c>
      <c r="N1" s="1135"/>
    </row>
    <row r="2" spans="1:30" ht="15.75">
      <c r="A2" s="1138" t="s">
        <v>0</v>
      </c>
      <c r="B2" s="1138"/>
      <c r="C2" s="1138"/>
      <c r="D2" s="1138"/>
      <c r="E2" s="1138"/>
      <c r="F2" s="1138"/>
      <c r="G2" s="1138"/>
      <c r="H2" s="1138"/>
      <c r="I2" s="1138"/>
      <c r="J2" s="1138"/>
      <c r="K2" s="1138"/>
      <c r="L2" s="1138"/>
      <c r="M2" s="1138"/>
      <c r="N2" s="1138"/>
    </row>
    <row r="3" spans="1:30" ht="18">
      <c r="A3" s="1139" t="s">
        <v>745</v>
      </c>
      <c r="B3" s="1139"/>
      <c r="C3" s="1139"/>
      <c r="D3" s="1139"/>
      <c r="E3" s="1139"/>
      <c r="F3" s="1139"/>
      <c r="G3" s="1139"/>
      <c r="H3" s="1139"/>
      <c r="I3" s="1139"/>
      <c r="J3" s="1139"/>
      <c r="K3" s="1139"/>
      <c r="L3" s="1139"/>
      <c r="M3" s="1139"/>
      <c r="N3" s="1139"/>
    </row>
    <row r="4" spans="1:30" ht="24" customHeight="1">
      <c r="A4" s="1159" t="s">
        <v>757</v>
      </c>
      <c r="B4" s="1159"/>
      <c r="C4" s="1159"/>
      <c r="D4" s="1159"/>
      <c r="E4" s="1159"/>
      <c r="F4" s="1159"/>
      <c r="G4" s="1159"/>
      <c r="H4" s="1159"/>
      <c r="I4" s="1159"/>
      <c r="J4" s="1159"/>
      <c r="K4" s="1159"/>
      <c r="L4" s="1159"/>
      <c r="M4" s="1159"/>
      <c r="N4" s="1159"/>
      <c r="O4" s="1159"/>
      <c r="P4" s="1159"/>
    </row>
    <row r="5" spans="1:30" s="256" customFormat="1" ht="18.75" customHeight="1">
      <c r="A5" s="344"/>
      <c r="B5" s="344"/>
      <c r="C5" s="344"/>
      <c r="D5" s="344"/>
      <c r="E5" s="344"/>
      <c r="F5" s="344"/>
      <c r="G5" s="344"/>
      <c r="H5" s="344"/>
      <c r="I5" s="344"/>
      <c r="J5" s="344"/>
      <c r="K5" s="344"/>
      <c r="L5" s="344"/>
      <c r="M5" s="344"/>
      <c r="N5" s="344"/>
      <c r="O5" s="323"/>
      <c r="P5" s="323"/>
    </row>
    <row r="6" spans="1:30">
      <c r="A6" s="1134"/>
      <c r="B6" s="1134"/>
      <c r="C6" s="1134"/>
      <c r="D6" s="1134"/>
      <c r="E6" s="1134"/>
      <c r="F6" s="1134"/>
      <c r="G6" s="1134"/>
      <c r="H6" s="1134"/>
      <c r="I6" s="1134"/>
      <c r="J6" s="1134"/>
      <c r="K6" s="1134"/>
      <c r="L6" s="1134"/>
      <c r="M6" s="1134"/>
      <c r="N6" s="1134"/>
    </row>
    <row r="7" spans="1:30">
      <c r="A7" s="1144" t="s">
        <v>911</v>
      </c>
      <c r="B7" s="1144"/>
      <c r="D7" s="301"/>
      <c r="E7" s="268"/>
      <c r="F7" s="268"/>
      <c r="G7" s="268"/>
      <c r="H7" s="1140"/>
      <c r="I7" s="1140"/>
      <c r="J7" s="1140"/>
      <c r="K7" s="1140"/>
      <c r="L7" s="1140"/>
      <c r="M7" s="1140"/>
      <c r="N7" s="1140"/>
    </row>
    <row r="8" spans="1:30" ht="24.75" customHeight="1">
      <c r="A8" s="1027" t="s">
        <v>2</v>
      </c>
      <c r="B8" s="1027" t="s">
        <v>3</v>
      </c>
      <c r="C8" s="1157" t="s">
        <v>489</v>
      </c>
      <c r="D8" s="1145" t="s">
        <v>85</v>
      </c>
      <c r="E8" s="1141" t="s">
        <v>86</v>
      </c>
      <c r="F8" s="1142"/>
      <c r="G8" s="1142"/>
      <c r="H8" s="1143"/>
      <c r="I8" s="1027" t="s">
        <v>653</v>
      </c>
      <c r="J8" s="1027"/>
      <c r="K8" s="1027"/>
      <c r="L8" s="1027"/>
      <c r="M8" s="1027"/>
      <c r="N8" s="1027"/>
      <c r="O8" s="1147" t="s">
        <v>708</v>
      </c>
      <c r="P8" s="1147"/>
    </row>
    <row r="9" spans="1:30" ht="44.45" customHeight="1">
      <c r="A9" s="1027"/>
      <c r="B9" s="1027"/>
      <c r="C9" s="1158"/>
      <c r="D9" s="1146"/>
      <c r="E9" s="316" t="s">
        <v>91</v>
      </c>
      <c r="F9" s="770" t="s">
        <v>1214</v>
      </c>
      <c r="G9" s="770" t="s">
        <v>1215</v>
      </c>
      <c r="H9" s="316" t="s">
        <v>687</v>
      </c>
      <c r="I9" s="321" t="s">
        <v>17</v>
      </c>
      <c r="J9" s="321" t="s">
        <v>959</v>
      </c>
      <c r="K9" s="321" t="s">
        <v>654</v>
      </c>
      <c r="L9" s="321" t="s">
        <v>655</v>
      </c>
      <c r="M9" s="321" t="s">
        <v>656</v>
      </c>
      <c r="N9" s="321" t="s">
        <v>657</v>
      </c>
      <c r="O9" s="334" t="s">
        <v>713</v>
      </c>
      <c r="P9" s="334" t="s">
        <v>711</v>
      </c>
    </row>
    <row r="10" spans="1:30" s="330" customFormat="1">
      <c r="A10" s="328">
        <v>1</v>
      </c>
      <c r="B10" s="328">
        <v>2</v>
      </c>
      <c r="C10" s="328">
        <v>3</v>
      </c>
      <c r="D10" s="328">
        <v>4</v>
      </c>
      <c r="E10" s="328">
        <v>5</v>
      </c>
      <c r="F10" s="328">
        <v>6</v>
      </c>
      <c r="G10" s="328">
        <v>7</v>
      </c>
      <c r="H10" s="328">
        <v>8</v>
      </c>
      <c r="I10" s="328">
        <v>9</v>
      </c>
      <c r="J10" s="328">
        <v>10</v>
      </c>
      <c r="K10" s="328">
        <v>11</v>
      </c>
      <c r="L10" s="328">
        <v>12</v>
      </c>
      <c r="M10" s="328">
        <v>13</v>
      </c>
      <c r="N10" s="328">
        <v>14</v>
      </c>
      <c r="O10" s="328">
        <v>15</v>
      </c>
      <c r="P10" s="328">
        <v>16</v>
      </c>
      <c r="Q10" s="255"/>
      <c r="R10" s="255"/>
      <c r="S10" s="255"/>
      <c r="T10" s="255"/>
      <c r="U10" s="255"/>
      <c r="V10" s="255"/>
      <c r="W10" s="255"/>
      <c r="X10" s="255"/>
      <c r="Y10" s="255"/>
      <c r="Z10" s="255"/>
      <c r="AA10" s="255"/>
      <c r="AB10" s="255"/>
      <c r="AC10" s="255"/>
      <c r="AD10" s="255"/>
    </row>
    <row r="11" spans="1:30">
      <c r="A11" s="272">
        <v>1</v>
      </c>
      <c r="B11" s="452" t="s">
        <v>1189</v>
      </c>
      <c r="C11" s="452">
        <f>43391+21720</f>
        <v>65111</v>
      </c>
      <c r="D11" s="302">
        <v>51</v>
      </c>
      <c r="E11" s="437">
        <f>F11+G11</f>
        <v>498.09914999999995</v>
      </c>
      <c r="F11" s="437">
        <f>C11*43*0.00015</f>
        <v>419.96594999999996</v>
      </c>
      <c r="G11" s="273">
        <f>C11*8*0.00015</f>
        <v>78.133199999999988</v>
      </c>
      <c r="H11" s="437">
        <v>0</v>
      </c>
      <c r="I11" s="437">
        <v>244.09</v>
      </c>
      <c r="J11" s="437">
        <v>244.09</v>
      </c>
      <c r="K11" s="437">
        <v>0</v>
      </c>
      <c r="L11" s="437">
        <v>0</v>
      </c>
      <c r="M11" s="437">
        <v>0</v>
      </c>
      <c r="N11" s="437">
        <v>0</v>
      </c>
      <c r="O11" s="273">
        <v>150</v>
      </c>
      <c r="P11" s="437">
        <v>18.310000000000002</v>
      </c>
    </row>
    <row r="12" spans="1:30">
      <c r="A12" s="272">
        <v>2</v>
      </c>
      <c r="B12" s="452" t="s">
        <v>963</v>
      </c>
      <c r="C12" s="452">
        <v>30666</v>
      </c>
      <c r="D12" s="302">
        <v>51</v>
      </c>
      <c r="E12" s="437">
        <f t="shared" ref="E12:E29" si="0">F12+G12</f>
        <v>234.5949</v>
      </c>
      <c r="F12" s="437">
        <f t="shared" ref="F12:F29" si="1">C12*43*0.00015</f>
        <v>197.79569999999998</v>
      </c>
      <c r="G12" s="273">
        <f t="shared" ref="G12:G29" si="2">C12*8*0.00015</f>
        <v>36.799199999999999</v>
      </c>
      <c r="H12" s="437">
        <v>0</v>
      </c>
      <c r="I12" s="437">
        <f t="shared" ref="I12:I28" si="3">J12+K12+L12+M12+N12</f>
        <v>46.92</v>
      </c>
      <c r="J12" s="437">
        <f t="shared" ref="J12:J17" si="4">ROUND(C12*D12*30/1000000,2)</f>
        <v>46.92</v>
      </c>
      <c r="K12" s="437">
        <v>0</v>
      </c>
      <c r="L12" s="437">
        <v>0</v>
      </c>
      <c r="M12" s="437">
        <v>0</v>
      </c>
      <c r="N12" s="437">
        <v>0</v>
      </c>
      <c r="O12" s="273">
        <v>150</v>
      </c>
      <c r="P12" s="437">
        <f t="shared" ref="P12:P28" si="5">ROUND(E12*1500/100000,2)</f>
        <v>3.52</v>
      </c>
    </row>
    <row r="13" spans="1:30">
      <c r="A13" s="272">
        <v>3</v>
      </c>
      <c r="B13" s="452" t="s">
        <v>964</v>
      </c>
      <c r="C13" s="452">
        <v>5994</v>
      </c>
      <c r="D13" s="302">
        <v>51</v>
      </c>
      <c r="E13" s="437">
        <f t="shared" si="0"/>
        <v>45.854099999999995</v>
      </c>
      <c r="F13" s="437">
        <f t="shared" si="1"/>
        <v>38.661299999999997</v>
      </c>
      <c r="G13" s="273">
        <f t="shared" si="2"/>
        <v>7.1927999999999992</v>
      </c>
      <c r="H13" s="437">
        <v>0</v>
      </c>
      <c r="I13" s="437">
        <f t="shared" si="3"/>
        <v>9.17</v>
      </c>
      <c r="J13" s="437">
        <f t="shared" si="4"/>
        <v>9.17</v>
      </c>
      <c r="K13" s="437">
        <v>0</v>
      </c>
      <c r="L13" s="437">
        <v>0</v>
      </c>
      <c r="M13" s="437">
        <v>0</v>
      </c>
      <c r="N13" s="437">
        <v>0</v>
      </c>
      <c r="O13" s="273">
        <v>150</v>
      </c>
      <c r="P13" s="437">
        <f t="shared" si="5"/>
        <v>0.69</v>
      </c>
    </row>
    <row r="14" spans="1:30">
      <c r="A14" s="272">
        <v>4</v>
      </c>
      <c r="B14" s="452" t="s">
        <v>965</v>
      </c>
      <c r="C14" s="452">
        <v>15846</v>
      </c>
      <c r="D14" s="302">
        <v>51</v>
      </c>
      <c r="E14" s="437">
        <f t="shared" si="0"/>
        <v>121.22190000000001</v>
      </c>
      <c r="F14" s="437">
        <f t="shared" si="1"/>
        <v>102.2067</v>
      </c>
      <c r="G14" s="273">
        <f t="shared" si="2"/>
        <v>19.0152</v>
      </c>
      <c r="H14" s="437">
        <v>0</v>
      </c>
      <c r="I14" s="437">
        <f t="shared" si="3"/>
        <v>24.24</v>
      </c>
      <c r="J14" s="437">
        <f t="shared" si="4"/>
        <v>24.24</v>
      </c>
      <c r="K14" s="437">
        <v>0</v>
      </c>
      <c r="L14" s="437">
        <v>0</v>
      </c>
      <c r="M14" s="437">
        <v>0</v>
      </c>
      <c r="N14" s="437">
        <v>0</v>
      </c>
      <c r="O14" s="273">
        <v>150</v>
      </c>
      <c r="P14" s="437">
        <f t="shared" si="5"/>
        <v>1.82</v>
      </c>
    </row>
    <row r="15" spans="1:30">
      <c r="A15" s="272">
        <v>5</v>
      </c>
      <c r="B15" s="452" t="s">
        <v>966</v>
      </c>
      <c r="C15" s="452">
        <v>13919</v>
      </c>
      <c r="D15" s="302">
        <v>51</v>
      </c>
      <c r="E15" s="437">
        <f t="shared" si="0"/>
        <v>106.48034999999999</v>
      </c>
      <c r="F15" s="437">
        <f t="shared" si="1"/>
        <v>89.777549999999991</v>
      </c>
      <c r="G15" s="273">
        <f t="shared" si="2"/>
        <v>16.7028</v>
      </c>
      <c r="H15" s="437">
        <v>0</v>
      </c>
      <c r="I15" s="437">
        <f t="shared" si="3"/>
        <v>21.3</v>
      </c>
      <c r="J15" s="437">
        <f t="shared" si="4"/>
        <v>21.3</v>
      </c>
      <c r="K15" s="437">
        <v>0</v>
      </c>
      <c r="L15" s="437">
        <v>0</v>
      </c>
      <c r="M15" s="437">
        <v>0</v>
      </c>
      <c r="N15" s="437">
        <v>0</v>
      </c>
      <c r="O15" s="273">
        <v>150</v>
      </c>
      <c r="P15" s="437">
        <f t="shared" si="5"/>
        <v>1.6</v>
      </c>
    </row>
    <row r="16" spans="1:30">
      <c r="A16" s="272">
        <v>6</v>
      </c>
      <c r="B16" s="452" t="s">
        <v>967</v>
      </c>
      <c r="C16" s="452">
        <v>30502</v>
      </c>
      <c r="D16" s="302">
        <v>51</v>
      </c>
      <c r="E16" s="437">
        <f t="shared" si="0"/>
        <v>233.34029999999998</v>
      </c>
      <c r="F16" s="437">
        <f t="shared" si="1"/>
        <v>196.7379</v>
      </c>
      <c r="G16" s="273">
        <f t="shared" si="2"/>
        <v>36.602399999999996</v>
      </c>
      <c r="H16" s="437">
        <v>0</v>
      </c>
      <c r="I16" s="437">
        <f t="shared" si="3"/>
        <v>46.67</v>
      </c>
      <c r="J16" s="437">
        <f t="shared" si="4"/>
        <v>46.67</v>
      </c>
      <c r="K16" s="437">
        <v>0</v>
      </c>
      <c r="L16" s="437">
        <v>0</v>
      </c>
      <c r="M16" s="437">
        <v>0</v>
      </c>
      <c r="N16" s="437">
        <v>0</v>
      </c>
      <c r="O16" s="273">
        <v>150</v>
      </c>
      <c r="P16" s="437">
        <f t="shared" si="5"/>
        <v>3.5</v>
      </c>
    </row>
    <row r="17" spans="1:30">
      <c r="A17" s="272">
        <v>7</v>
      </c>
      <c r="B17" s="452" t="s">
        <v>968</v>
      </c>
      <c r="C17" s="452">
        <v>11214</v>
      </c>
      <c r="D17" s="302">
        <v>51</v>
      </c>
      <c r="E17" s="437">
        <f t="shared" si="0"/>
        <v>85.787099999999995</v>
      </c>
      <c r="F17" s="437">
        <f t="shared" si="1"/>
        <v>72.330299999999994</v>
      </c>
      <c r="G17" s="273">
        <f t="shared" si="2"/>
        <v>13.456799999999999</v>
      </c>
      <c r="H17" s="437">
        <v>0</v>
      </c>
      <c r="I17" s="437">
        <f t="shared" si="3"/>
        <v>17.16</v>
      </c>
      <c r="J17" s="437">
        <f t="shared" si="4"/>
        <v>17.16</v>
      </c>
      <c r="K17" s="437">
        <v>0</v>
      </c>
      <c r="L17" s="437">
        <v>0</v>
      </c>
      <c r="M17" s="437">
        <v>0</v>
      </c>
      <c r="N17" s="437">
        <v>0</v>
      </c>
      <c r="O17" s="273">
        <v>150</v>
      </c>
      <c r="P17" s="437">
        <f t="shared" si="5"/>
        <v>1.29</v>
      </c>
      <c r="Q17" s="257"/>
      <c r="R17" s="257"/>
      <c r="S17" s="257"/>
      <c r="T17" s="257"/>
      <c r="U17" s="257"/>
      <c r="V17" s="257"/>
      <c r="W17" s="257"/>
      <c r="X17" s="257"/>
      <c r="Y17" s="257"/>
      <c r="Z17" s="257"/>
      <c r="AA17" s="257"/>
      <c r="AB17" s="257"/>
      <c r="AC17" s="257"/>
      <c r="AD17" s="257"/>
    </row>
    <row r="18" spans="1:30">
      <c r="A18" s="272">
        <v>8</v>
      </c>
      <c r="B18" s="452" t="s">
        <v>1145</v>
      </c>
      <c r="C18" s="452">
        <f>17939+33191</f>
        <v>51130</v>
      </c>
      <c r="D18" s="302">
        <v>51</v>
      </c>
      <c r="E18" s="437">
        <f t="shared" si="0"/>
        <v>391.14449999999999</v>
      </c>
      <c r="F18" s="437">
        <f t="shared" si="1"/>
        <v>329.7885</v>
      </c>
      <c r="G18" s="273">
        <f t="shared" si="2"/>
        <v>61.355999999999995</v>
      </c>
      <c r="H18" s="437">
        <v>0</v>
      </c>
      <c r="I18" s="437">
        <v>17.57</v>
      </c>
      <c r="J18" s="437">
        <v>17.57</v>
      </c>
      <c r="K18" s="437">
        <v>0</v>
      </c>
      <c r="L18" s="437">
        <v>0</v>
      </c>
      <c r="M18" s="437">
        <v>0</v>
      </c>
      <c r="N18" s="437">
        <v>0</v>
      </c>
      <c r="O18" s="273">
        <v>300</v>
      </c>
      <c r="P18" s="437">
        <v>1.31</v>
      </c>
    </row>
    <row r="19" spans="1:30">
      <c r="A19" s="272">
        <v>9</v>
      </c>
      <c r="B19" s="452" t="s">
        <v>971</v>
      </c>
      <c r="C19" s="452">
        <v>9196</v>
      </c>
      <c r="D19" s="302">
        <v>52</v>
      </c>
      <c r="E19" s="437">
        <f t="shared" ref="E19" si="6">F19+G19</f>
        <v>70.349399999999989</v>
      </c>
      <c r="F19" s="437">
        <f t="shared" ref="F19" si="7">C19*43*0.00015</f>
        <v>59.314199999999992</v>
      </c>
      <c r="G19" s="273">
        <f t="shared" ref="G19" si="8">C19*8*0.00015</f>
        <v>11.0352</v>
      </c>
      <c r="H19" s="437">
        <v>0</v>
      </c>
      <c r="I19" s="437">
        <v>17.57</v>
      </c>
      <c r="J19" s="437">
        <v>17.57</v>
      </c>
      <c r="K19" s="437">
        <v>0</v>
      </c>
      <c r="L19" s="437">
        <v>0</v>
      </c>
      <c r="M19" s="437">
        <v>0</v>
      </c>
      <c r="N19" s="437">
        <v>0</v>
      </c>
      <c r="O19" s="273">
        <v>300</v>
      </c>
      <c r="P19" s="437">
        <v>1.31</v>
      </c>
    </row>
    <row r="20" spans="1:30">
      <c r="A20" s="272">
        <v>10</v>
      </c>
      <c r="B20" s="452" t="s">
        <v>972</v>
      </c>
      <c r="C20" s="452">
        <v>3708</v>
      </c>
      <c r="D20" s="302">
        <v>51</v>
      </c>
      <c r="E20" s="437">
        <f t="shared" si="0"/>
        <v>70.349399999999989</v>
      </c>
      <c r="F20" s="437">
        <f t="shared" ref="F20:F28" si="9">C19*43*0.00015</f>
        <v>59.314199999999992</v>
      </c>
      <c r="G20" s="273">
        <f t="shared" ref="G20:G28" si="10">C19*8*0.00015</f>
        <v>11.0352</v>
      </c>
      <c r="H20" s="437">
        <v>0</v>
      </c>
      <c r="I20" s="437">
        <f t="shared" si="3"/>
        <v>14.07</v>
      </c>
      <c r="J20" s="437">
        <f t="shared" ref="J20:J28" si="11">ROUND(C19*D20*30/1000000,2)</f>
        <v>14.07</v>
      </c>
      <c r="K20" s="437">
        <v>0</v>
      </c>
      <c r="L20" s="437">
        <v>0</v>
      </c>
      <c r="M20" s="437">
        <v>0</v>
      </c>
      <c r="N20" s="437">
        <v>0</v>
      </c>
      <c r="O20" s="273">
        <v>150</v>
      </c>
      <c r="P20" s="437">
        <f t="shared" si="5"/>
        <v>1.06</v>
      </c>
    </row>
    <row r="21" spans="1:30">
      <c r="A21" s="272">
        <v>11</v>
      </c>
      <c r="B21" s="452" t="s">
        <v>973</v>
      </c>
      <c r="C21" s="452">
        <v>16983</v>
      </c>
      <c r="D21" s="302">
        <v>51</v>
      </c>
      <c r="E21" s="437">
        <f t="shared" si="0"/>
        <v>28.366199999999999</v>
      </c>
      <c r="F21" s="437">
        <f t="shared" si="9"/>
        <v>23.916599999999999</v>
      </c>
      <c r="G21" s="273">
        <f t="shared" si="10"/>
        <v>4.4495999999999993</v>
      </c>
      <c r="H21" s="437">
        <v>0</v>
      </c>
      <c r="I21" s="437">
        <f t="shared" si="3"/>
        <v>5.67</v>
      </c>
      <c r="J21" s="437">
        <f t="shared" si="11"/>
        <v>5.67</v>
      </c>
      <c r="K21" s="437">
        <v>0</v>
      </c>
      <c r="L21" s="437">
        <v>0</v>
      </c>
      <c r="M21" s="437">
        <v>0</v>
      </c>
      <c r="N21" s="437">
        <v>0</v>
      </c>
      <c r="O21" s="273">
        <v>150</v>
      </c>
      <c r="P21" s="437">
        <f t="shared" si="5"/>
        <v>0.43</v>
      </c>
    </row>
    <row r="22" spans="1:30">
      <c r="A22" s="272">
        <v>12</v>
      </c>
      <c r="B22" s="452" t="s">
        <v>974</v>
      </c>
      <c r="C22" s="452">
        <v>45320</v>
      </c>
      <c r="D22" s="302">
        <v>51</v>
      </c>
      <c r="E22" s="437">
        <f t="shared" si="0"/>
        <v>129.91995</v>
      </c>
      <c r="F22" s="437">
        <f t="shared" si="9"/>
        <v>109.54034999999999</v>
      </c>
      <c r="G22" s="273">
        <f t="shared" si="10"/>
        <v>20.3796</v>
      </c>
      <c r="H22" s="437">
        <v>0</v>
      </c>
      <c r="I22" s="437">
        <f t="shared" si="3"/>
        <v>25.98</v>
      </c>
      <c r="J22" s="437">
        <f t="shared" si="11"/>
        <v>25.98</v>
      </c>
      <c r="K22" s="437">
        <v>0</v>
      </c>
      <c r="L22" s="437">
        <v>0</v>
      </c>
      <c r="M22" s="437">
        <v>0</v>
      </c>
      <c r="N22" s="437">
        <v>0</v>
      </c>
      <c r="O22" s="273">
        <v>150</v>
      </c>
      <c r="P22" s="437">
        <f t="shared" si="5"/>
        <v>1.95</v>
      </c>
    </row>
    <row r="23" spans="1:30">
      <c r="A23" s="272">
        <v>13</v>
      </c>
      <c r="B23" s="452" t="s">
        <v>975</v>
      </c>
      <c r="C23" s="452">
        <v>89140</v>
      </c>
      <c r="D23" s="302">
        <v>51</v>
      </c>
      <c r="E23" s="437">
        <f t="shared" si="0"/>
        <v>346.69799999999998</v>
      </c>
      <c r="F23" s="437">
        <f t="shared" si="9"/>
        <v>292.31399999999996</v>
      </c>
      <c r="G23" s="273">
        <f t="shared" si="10"/>
        <v>54.383999999999993</v>
      </c>
      <c r="H23" s="437">
        <v>0</v>
      </c>
      <c r="I23" s="437">
        <f t="shared" si="3"/>
        <v>69.34</v>
      </c>
      <c r="J23" s="437">
        <f t="shared" si="11"/>
        <v>69.34</v>
      </c>
      <c r="K23" s="437">
        <v>0</v>
      </c>
      <c r="L23" s="437">
        <v>0</v>
      </c>
      <c r="M23" s="437">
        <v>0</v>
      </c>
      <c r="N23" s="437">
        <v>0</v>
      </c>
      <c r="O23" s="273">
        <v>150</v>
      </c>
      <c r="P23" s="437">
        <f t="shared" si="5"/>
        <v>5.2</v>
      </c>
    </row>
    <row r="24" spans="1:30">
      <c r="A24" s="272">
        <v>14</v>
      </c>
      <c r="B24" s="452" t="s">
        <v>976</v>
      </c>
      <c r="C24" s="452">
        <v>63413</v>
      </c>
      <c r="D24" s="302">
        <v>51</v>
      </c>
      <c r="E24" s="437">
        <f t="shared" si="0"/>
        <v>681.92099999999994</v>
      </c>
      <c r="F24" s="437">
        <f t="shared" si="9"/>
        <v>574.95299999999997</v>
      </c>
      <c r="G24" s="273">
        <f t="shared" si="10"/>
        <v>106.96799999999999</v>
      </c>
      <c r="H24" s="437">
        <v>0</v>
      </c>
      <c r="I24" s="437">
        <f t="shared" si="3"/>
        <v>136.38</v>
      </c>
      <c r="J24" s="437">
        <f t="shared" si="11"/>
        <v>136.38</v>
      </c>
      <c r="K24" s="437">
        <v>0</v>
      </c>
      <c r="L24" s="437">
        <v>0</v>
      </c>
      <c r="M24" s="437">
        <v>0</v>
      </c>
      <c r="N24" s="437">
        <v>0</v>
      </c>
      <c r="O24" s="273">
        <v>150</v>
      </c>
      <c r="P24" s="437">
        <f t="shared" si="5"/>
        <v>10.23</v>
      </c>
    </row>
    <row r="25" spans="1:30">
      <c r="A25" s="272">
        <v>15</v>
      </c>
      <c r="B25" s="452" t="s">
        <v>977</v>
      </c>
      <c r="C25" s="452">
        <v>32616</v>
      </c>
      <c r="D25" s="302">
        <v>51</v>
      </c>
      <c r="E25" s="437">
        <f t="shared" si="0"/>
        <v>485.10944999999998</v>
      </c>
      <c r="F25" s="437">
        <f t="shared" si="9"/>
        <v>409.01384999999999</v>
      </c>
      <c r="G25" s="273">
        <f t="shared" si="10"/>
        <v>76.09559999999999</v>
      </c>
      <c r="H25" s="437">
        <v>0</v>
      </c>
      <c r="I25" s="437">
        <f t="shared" si="3"/>
        <v>97.02</v>
      </c>
      <c r="J25" s="437">
        <f t="shared" si="11"/>
        <v>97.02</v>
      </c>
      <c r="K25" s="437">
        <v>0</v>
      </c>
      <c r="L25" s="437">
        <v>0</v>
      </c>
      <c r="M25" s="437">
        <v>0</v>
      </c>
      <c r="N25" s="437">
        <v>0</v>
      </c>
      <c r="O25" s="273">
        <v>150</v>
      </c>
      <c r="P25" s="437">
        <f t="shared" si="5"/>
        <v>7.28</v>
      </c>
    </row>
    <row r="26" spans="1:30">
      <c r="A26" s="272">
        <v>16</v>
      </c>
      <c r="B26" s="452" t="s">
        <v>978</v>
      </c>
      <c r="C26" s="452">
        <v>18577</v>
      </c>
      <c r="D26" s="302">
        <v>51</v>
      </c>
      <c r="E26" s="437">
        <f t="shared" si="0"/>
        <v>249.51239999999996</v>
      </c>
      <c r="F26" s="437">
        <f t="shared" si="9"/>
        <v>210.37319999999997</v>
      </c>
      <c r="G26" s="273">
        <f t="shared" si="10"/>
        <v>39.139199999999995</v>
      </c>
      <c r="H26" s="437">
        <v>0</v>
      </c>
      <c r="I26" s="437">
        <f t="shared" si="3"/>
        <v>49.9</v>
      </c>
      <c r="J26" s="437">
        <f t="shared" si="11"/>
        <v>49.9</v>
      </c>
      <c r="K26" s="437">
        <v>0</v>
      </c>
      <c r="L26" s="437">
        <v>0</v>
      </c>
      <c r="M26" s="437">
        <v>0</v>
      </c>
      <c r="N26" s="437">
        <v>0</v>
      </c>
      <c r="O26" s="273">
        <v>150</v>
      </c>
      <c r="P26" s="437">
        <f t="shared" si="5"/>
        <v>3.74</v>
      </c>
    </row>
    <row r="27" spans="1:30">
      <c r="A27" s="272">
        <v>17</v>
      </c>
      <c r="B27" s="452" t="s">
        <v>979</v>
      </c>
      <c r="C27" s="452">
        <v>49507</v>
      </c>
      <c r="D27" s="302">
        <v>51</v>
      </c>
      <c r="E27" s="437">
        <f t="shared" si="0"/>
        <v>142.11404999999999</v>
      </c>
      <c r="F27" s="437">
        <f t="shared" si="9"/>
        <v>119.82164999999999</v>
      </c>
      <c r="G27" s="273">
        <f t="shared" si="10"/>
        <v>22.292399999999997</v>
      </c>
      <c r="H27" s="437">
        <v>0</v>
      </c>
      <c r="I27" s="437">
        <f t="shared" si="3"/>
        <v>28.42</v>
      </c>
      <c r="J27" s="437">
        <f t="shared" si="11"/>
        <v>28.42</v>
      </c>
      <c r="K27" s="437">
        <v>0</v>
      </c>
      <c r="L27" s="437">
        <v>0</v>
      </c>
      <c r="M27" s="437">
        <v>0</v>
      </c>
      <c r="N27" s="437">
        <v>0</v>
      </c>
      <c r="O27" s="273">
        <v>150</v>
      </c>
      <c r="P27" s="437">
        <f t="shared" si="5"/>
        <v>2.13</v>
      </c>
    </row>
    <row r="28" spans="1:30">
      <c r="A28" s="272">
        <v>18</v>
      </c>
      <c r="B28" s="452" t="s">
        <v>980</v>
      </c>
      <c r="C28" s="268">
        <v>17982</v>
      </c>
      <c r="D28" s="302">
        <v>51</v>
      </c>
      <c r="E28" s="437">
        <f t="shared" si="0"/>
        <v>378.72854999999993</v>
      </c>
      <c r="F28" s="437">
        <f t="shared" si="9"/>
        <v>319.32014999999996</v>
      </c>
      <c r="G28" s="273">
        <f t="shared" si="10"/>
        <v>59.408399999999993</v>
      </c>
      <c r="H28" s="437">
        <v>0</v>
      </c>
      <c r="I28" s="437">
        <f t="shared" si="3"/>
        <v>75.75</v>
      </c>
      <c r="J28" s="437">
        <f t="shared" si="11"/>
        <v>75.75</v>
      </c>
      <c r="K28" s="437">
        <v>0</v>
      </c>
      <c r="L28" s="437">
        <v>0</v>
      </c>
      <c r="M28" s="437">
        <v>0</v>
      </c>
      <c r="N28" s="437">
        <v>0</v>
      </c>
      <c r="O28" s="273">
        <v>150</v>
      </c>
      <c r="P28" s="437">
        <f t="shared" si="5"/>
        <v>5.68</v>
      </c>
    </row>
    <row r="29" spans="1:30" s="257" customFormat="1">
      <c r="A29" s="329" t="s">
        <v>17</v>
      </c>
      <c r="B29" s="399"/>
      <c r="C29" s="399">
        <f>SUM(C11:C28)</f>
        <v>570824</v>
      </c>
      <c r="D29" s="438"/>
      <c r="E29" s="439">
        <f t="shared" si="0"/>
        <v>4366.8035999999993</v>
      </c>
      <c r="F29" s="439">
        <f t="shared" si="1"/>
        <v>3681.8147999999997</v>
      </c>
      <c r="G29" s="399">
        <f t="shared" si="2"/>
        <v>684.98879999999997</v>
      </c>
      <c r="H29" s="439">
        <f t="shared" ref="H29:N29" si="12">SUM(H11:H28)</f>
        <v>0</v>
      </c>
      <c r="I29" s="439">
        <f t="shared" si="12"/>
        <v>947.22</v>
      </c>
      <c r="J29" s="439">
        <f t="shared" si="12"/>
        <v>947.22</v>
      </c>
      <c r="K29" s="439">
        <f t="shared" si="12"/>
        <v>0</v>
      </c>
      <c r="L29" s="439">
        <f t="shared" si="12"/>
        <v>0</v>
      </c>
      <c r="M29" s="439">
        <f t="shared" si="12"/>
        <v>0</v>
      </c>
      <c r="N29" s="439">
        <f t="shared" si="12"/>
        <v>0</v>
      </c>
      <c r="O29" s="399"/>
      <c r="P29" s="439">
        <f>SUM(P11:P28)</f>
        <v>71.050000000000011</v>
      </c>
      <c r="Q29" s="255"/>
      <c r="R29" s="255"/>
      <c r="S29" s="255"/>
      <c r="T29" s="255"/>
      <c r="U29" s="255"/>
      <c r="V29" s="255"/>
      <c r="W29" s="255"/>
      <c r="X29" s="255"/>
      <c r="Y29" s="255"/>
      <c r="Z29" s="255"/>
      <c r="AA29" s="255"/>
      <c r="AB29" s="255"/>
      <c r="AC29" s="255"/>
      <c r="AD29" s="255"/>
    </row>
    <row r="30" spans="1:30">
      <c r="A30" s="275"/>
      <c r="B30" s="275"/>
      <c r="C30" s="275"/>
      <c r="D30" s="275"/>
      <c r="E30" s="268"/>
      <c r="F30" s="268"/>
      <c r="G30" s="268"/>
      <c r="H30" s="268"/>
      <c r="I30" s="268"/>
      <c r="J30" s="268"/>
      <c r="K30" s="268"/>
      <c r="L30" s="268"/>
      <c r="M30" s="268"/>
      <c r="N30" s="268"/>
    </row>
    <row r="31" spans="1:30">
      <c r="A31" s="276"/>
      <c r="B31" s="277"/>
      <c r="C31" s="275"/>
      <c r="D31" s="275"/>
      <c r="E31" s="275"/>
      <c r="F31" s="268"/>
      <c r="G31" s="268"/>
      <c r="H31" s="268"/>
      <c r="I31" s="268"/>
      <c r="J31" s="268"/>
      <c r="K31" s="268"/>
      <c r="L31" s="268"/>
      <c r="M31" s="268"/>
      <c r="N31" s="268"/>
    </row>
    <row r="32" spans="1:30">
      <c r="A32" s="276"/>
      <c r="B32" s="277"/>
      <c r="D32" s="275"/>
      <c r="E32" s="268"/>
      <c r="F32" s="268"/>
      <c r="G32" s="268"/>
      <c r="H32" s="268"/>
      <c r="I32" s="268"/>
      <c r="J32" s="268"/>
      <c r="K32" s="268"/>
      <c r="L32" s="268"/>
      <c r="M32" s="268"/>
      <c r="N32" s="268"/>
    </row>
    <row r="33" spans="1:14">
      <c r="A33" s="278"/>
      <c r="B33" s="278"/>
      <c r="C33" s="278"/>
      <c r="E33" s="268"/>
      <c r="F33" s="268"/>
      <c r="G33" s="268"/>
      <c r="H33" s="268"/>
      <c r="I33" s="268"/>
      <c r="J33" s="268"/>
      <c r="K33" s="268"/>
      <c r="L33" s="268"/>
      <c r="M33" s="268"/>
      <c r="N33" s="268"/>
    </row>
    <row r="34" spans="1:14" ht="15">
      <c r="D34" s="1133" t="s">
        <v>906</v>
      </c>
      <c r="E34" s="1133"/>
      <c r="F34" s="1133"/>
      <c r="G34" s="440"/>
      <c r="H34" s="268"/>
      <c r="I34" s="268"/>
      <c r="J34" s="268"/>
      <c r="K34" s="1136" t="s">
        <v>12</v>
      </c>
      <c r="L34" s="1136"/>
      <c r="M34" s="1136"/>
      <c r="N34" s="1136"/>
    </row>
    <row r="35" spans="1:14" ht="15">
      <c r="D35" s="1148" t="s">
        <v>907</v>
      </c>
      <c r="E35" s="1148"/>
      <c r="F35" s="1148"/>
      <c r="G35" s="442"/>
      <c r="H35" s="268"/>
      <c r="I35" s="268"/>
      <c r="J35" s="268"/>
      <c r="K35" s="1136" t="s">
        <v>13</v>
      </c>
      <c r="L35" s="1136"/>
      <c r="M35" s="1136"/>
      <c r="N35" s="1136"/>
    </row>
    <row r="36" spans="1:14" ht="15">
      <c r="D36" s="1148" t="s">
        <v>908</v>
      </c>
      <c r="E36" s="1148"/>
      <c r="F36" s="1148"/>
      <c r="G36" s="442"/>
      <c r="H36" s="268"/>
      <c r="I36" s="268"/>
      <c r="J36" s="268"/>
      <c r="K36" s="1136" t="s">
        <v>18</v>
      </c>
      <c r="L36" s="1136"/>
      <c r="M36" s="1136"/>
      <c r="N36" s="1136"/>
    </row>
    <row r="37" spans="1:14" ht="12.75" customHeight="1">
      <c r="A37" s="440" t="s">
        <v>11</v>
      </c>
      <c r="B37" s="290"/>
      <c r="C37" s="443"/>
      <c r="D37" s="440"/>
      <c r="E37" s="440"/>
      <c r="F37" s="440"/>
      <c r="G37" s="440"/>
      <c r="H37" s="268"/>
      <c r="I37" s="268"/>
      <c r="J37" s="268"/>
      <c r="K37" s="801" t="s">
        <v>84</v>
      </c>
      <c r="L37" s="801"/>
      <c r="M37" s="801"/>
      <c r="N37" s="801"/>
    </row>
    <row r="38" spans="1:14" ht="12.75" customHeight="1">
      <c r="E38" s="445"/>
      <c r="F38" s="445"/>
      <c r="G38" s="445"/>
      <c r="H38" s="445"/>
      <c r="I38" s="445"/>
      <c r="J38" s="445"/>
      <c r="K38" s="445"/>
      <c r="L38" s="445"/>
      <c r="M38" s="445"/>
      <c r="N38" s="445"/>
    </row>
    <row r="39" spans="1:14">
      <c r="A39" s="278"/>
      <c r="B39" s="278"/>
    </row>
    <row r="41" spans="1:14">
      <c r="A41" s="445"/>
      <c r="B41" s="445"/>
      <c r="C41" s="445"/>
      <c r="D41" s="445"/>
    </row>
  </sheetData>
  <mergeCells count="22">
    <mergeCell ref="K37:N37"/>
    <mergeCell ref="A7:B7"/>
    <mergeCell ref="H7:N7"/>
    <mergeCell ref="A8:A9"/>
    <mergeCell ref="B8:B9"/>
    <mergeCell ref="C8:C9"/>
    <mergeCell ref="D8:D9"/>
    <mergeCell ref="E8:H8"/>
    <mergeCell ref="D34:F34"/>
    <mergeCell ref="K34:N34"/>
    <mergeCell ref="D35:F35"/>
    <mergeCell ref="K35:N35"/>
    <mergeCell ref="D36:F36"/>
    <mergeCell ref="K36:N36"/>
    <mergeCell ref="O8:P8"/>
    <mergeCell ref="I8:N8"/>
    <mergeCell ref="A6:N6"/>
    <mergeCell ref="D1:E1"/>
    <mergeCell ref="M1:N1"/>
    <mergeCell ref="A2:N2"/>
    <mergeCell ref="A3:N3"/>
    <mergeCell ref="A4:P4"/>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64.xml><?xml version="1.0" encoding="utf-8"?>
<worksheet xmlns="http://schemas.openxmlformats.org/spreadsheetml/2006/main" xmlns:r="http://schemas.openxmlformats.org/officeDocument/2006/relationships">
  <sheetPr codeName="Sheet64">
    <pageSetUpPr fitToPage="1"/>
  </sheetPr>
  <dimension ref="A1:T48"/>
  <sheetViews>
    <sheetView view="pageBreakPreview" topLeftCell="A28" zoomScaleNormal="90" zoomScaleSheetLayoutView="100" workbookViewId="0">
      <selection activeCell="D45" sqref="D45:F47"/>
    </sheetView>
  </sheetViews>
  <sheetFormatPr defaultRowHeight="15"/>
  <cols>
    <col min="1" max="1" width="7.140625" style="74" customWidth="1"/>
    <col min="2" max="2" width="19.28515625" style="74" customWidth="1"/>
    <col min="3" max="4" width="8.5703125" style="74" customWidth="1"/>
    <col min="5" max="5" width="8.7109375" style="74" customWidth="1"/>
    <col min="6" max="6" width="8.5703125" style="74" customWidth="1"/>
    <col min="7" max="7" width="9.7109375" style="74" customWidth="1"/>
    <col min="8" max="8" width="10.28515625" style="74" customWidth="1"/>
    <col min="9" max="9" width="9.7109375" style="74" customWidth="1"/>
    <col min="10" max="10" width="9.28515625" style="74" customWidth="1"/>
    <col min="11" max="11" width="7" style="74" customWidth="1"/>
    <col min="12" max="12" width="7.28515625" style="74" customWidth="1"/>
    <col min="13" max="13" width="7.42578125" style="74" customWidth="1"/>
    <col min="14" max="14" width="7.85546875" style="74" customWidth="1"/>
    <col min="15" max="15" width="11.42578125" style="74" customWidth="1"/>
    <col min="16" max="16" width="12.85546875" style="74" customWidth="1"/>
    <col min="17" max="17" width="11.5703125" style="74" customWidth="1"/>
    <col min="18" max="18" width="12.140625" style="74" customWidth="1"/>
    <col min="19" max="19" width="9" style="74" customWidth="1"/>
    <col min="20" max="20" width="9.140625" style="74" hidden="1" customWidth="1"/>
    <col min="21" max="16384" width="9.140625" style="74"/>
  </cols>
  <sheetData>
    <row r="1" spans="1:20" s="15" customFormat="1" ht="15.75">
      <c r="G1" s="847" t="s">
        <v>0</v>
      </c>
      <c r="H1" s="847"/>
      <c r="I1" s="847"/>
      <c r="J1" s="847"/>
      <c r="K1" s="847"/>
      <c r="L1" s="847"/>
      <c r="M1" s="847"/>
      <c r="N1" s="37"/>
      <c r="O1" s="37"/>
      <c r="R1" s="40" t="s">
        <v>539</v>
      </c>
      <c r="S1" s="40"/>
    </row>
    <row r="2" spans="1:20" s="15" customFormat="1" ht="20.25">
      <c r="B2" s="128"/>
      <c r="E2" s="848" t="s">
        <v>745</v>
      </c>
      <c r="F2" s="848"/>
      <c r="G2" s="848"/>
      <c r="H2" s="848"/>
      <c r="I2" s="848"/>
      <c r="J2" s="848"/>
      <c r="K2" s="848"/>
      <c r="L2" s="848"/>
      <c r="M2" s="848"/>
      <c r="N2" s="848"/>
      <c r="O2" s="848"/>
    </row>
    <row r="3" spans="1:20" s="15" customFormat="1" ht="20.25">
      <c r="B3" s="127"/>
      <c r="C3" s="127"/>
      <c r="D3" s="127"/>
      <c r="E3" s="127"/>
      <c r="F3" s="127"/>
      <c r="G3" s="127"/>
      <c r="H3" s="127"/>
      <c r="I3" s="127"/>
      <c r="J3" s="127"/>
    </row>
    <row r="4" spans="1:20" ht="18">
      <c r="B4" s="1165" t="s">
        <v>758</v>
      </c>
      <c r="C4" s="1165"/>
      <c r="D4" s="1165"/>
      <c r="E4" s="1165"/>
      <c r="F4" s="1165"/>
      <c r="G4" s="1165"/>
      <c r="H4" s="1165"/>
      <c r="I4" s="1165"/>
      <c r="J4" s="1165"/>
      <c r="K4" s="1165"/>
      <c r="L4" s="1165"/>
      <c r="M4" s="1165"/>
      <c r="N4" s="1165"/>
      <c r="O4" s="1165"/>
      <c r="P4" s="1165"/>
      <c r="Q4" s="1165"/>
      <c r="R4" s="1165"/>
      <c r="S4" s="1165"/>
      <c r="T4" s="1165"/>
    </row>
    <row r="5" spans="1:20">
      <c r="C5" s="75"/>
      <c r="D5" s="75"/>
      <c r="E5" s="75"/>
      <c r="F5" s="75"/>
      <c r="G5" s="75"/>
      <c r="H5" s="75"/>
      <c r="M5" s="75"/>
      <c r="N5" s="75"/>
      <c r="O5" s="75"/>
      <c r="P5" s="75"/>
      <c r="Q5" s="75"/>
      <c r="R5" s="75"/>
      <c r="S5" s="75"/>
      <c r="T5" s="75"/>
    </row>
    <row r="6" spans="1:20">
      <c r="A6" s="850" t="s">
        <v>911</v>
      </c>
      <c r="B6" s="850"/>
    </row>
    <row r="7" spans="1:20">
      <c r="B7" s="77"/>
    </row>
    <row r="8" spans="1:20" s="78" customFormat="1" ht="42" customHeight="1">
      <c r="A8" s="834" t="s">
        <v>2</v>
      </c>
      <c r="B8" s="1166" t="s">
        <v>3</v>
      </c>
      <c r="C8" s="1161" t="s">
        <v>238</v>
      </c>
      <c r="D8" s="1161"/>
      <c r="E8" s="1161"/>
      <c r="F8" s="1161"/>
      <c r="G8" s="1162" t="s">
        <v>887</v>
      </c>
      <c r="H8" s="1163"/>
      <c r="I8" s="1163"/>
      <c r="J8" s="1164"/>
      <c r="K8" s="1162" t="s">
        <v>207</v>
      </c>
      <c r="L8" s="1163"/>
      <c r="M8" s="1163"/>
      <c r="N8" s="1164"/>
      <c r="O8" s="1162" t="s">
        <v>109</v>
      </c>
      <c r="P8" s="1163"/>
      <c r="Q8" s="1163"/>
      <c r="R8" s="1168"/>
    </row>
    <row r="9" spans="1:20" s="79" customFormat="1" ht="37.5" customHeight="1">
      <c r="A9" s="834"/>
      <c r="B9" s="1167"/>
      <c r="C9" s="84" t="s">
        <v>95</v>
      </c>
      <c r="D9" s="84" t="s">
        <v>99</v>
      </c>
      <c r="E9" s="84" t="s">
        <v>100</v>
      </c>
      <c r="F9" s="84" t="s">
        <v>17</v>
      </c>
      <c r="G9" s="84" t="s">
        <v>95</v>
      </c>
      <c r="H9" s="84" t="s">
        <v>99</v>
      </c>
      <c r="I9" s="84" t="s">
        <v>100</v>
      </c>
      <c r="J9" s="84" t="s">
        <v>17</v>
      </c>
      <c r="K9" s="84" t="s">
        <v>95</v>
      </c>
      <c r="L9" s="84" t="s">
        <v>99</v>
      </c>
      <c r="M9" s="84" t="s">
        <v>100</v>
      </c>
      <c r="N9" s="84" t="s">
        <v>17</v>
      </c>
      <c r="O9" s="84" t="s">
        <v>142</v>
      </c>
      <c r="P9" s="84" t="s">
        <v>143</v>
      </c>
      <c r="Q9" s="159" t="s">
        <v>144</v>
      </c>
      <c r="R9" s="84" t="s">
        <v>145</v>
      </c>
      <c r="S9" s="122"/>
    </row>
    <row r="10" spans="1:20" s="332" customFormat="1" ht="16.149999999999999" customHeight="1">
      <c r="A10" s="65">
        <v>1</v>
      </c>
      <c r="B10" s="150">
        <v>2</v>
      </c>
      <c r="C10" s="331">
        <v>3</v>
      </c>
      <c r="D10" s="331">
        <v>4</v>
      </c>
      <c r="E10" s="331">
        <v>5</v>
      </c>
      <c r="F10" s="331">
        <v>6</v>
      </c>
      <c r="G10" s="331">
        <v>7</v>
      </c>
      <c r="H10" s="331">
        <v>8</v>
      </c>
      <c r="I10" s="331">
        <v>9</v>
      </c>
      <c r="J10" s="331">
        <v>10</v>
      </c>
      <c r="K10" s="331">
        <v>11</v>
      </c>
      <c r="L10" s="331">
        <v>12</v>
      </c>
      <c r="M10" s="331">
        <v>13</v>
      </c>
      <c r="N10" s="331">
        <v>14</v>
      </c>
      <c r="O10" s="331">
        <v>15</v>
      </c>
      <c r="P10" s="331">
        <v>16</v>
      </c>
      <c r="Q10" s="331">
        <v>17</v>
      </c>
      <c r="R10" s="150">
        <v>18</v>
      </c>
    </row>
    <row r="11" spans="1:20" s="161" customFormat="1" ht="16.149999999999999" customHeight="1">
      <c r="A11" s="5">
        <v>1</v>
      </c>
      <c r="B11" s="480" t="s">
        <v>988</v>
      </c>
      <c r="C11" s="478">
        <v>1490</v>
      </c>
      <c r="D11" s="478">
        <v>588</v>
      </c>
      <c r="E11" s="478">
        <v>46</v>
      </c>
      <c r="F11" s="478">
        <f>C11+D11+E11</f>
        <v>2124</v>
      </c>
      <c r="G11" s="478">
        <v>50</v>
      </c>
      <c r="H11" s="478">
        <v>0</v>
      </c>
      <c r="I11" s="478">
        <v>0</v>
      </c>
      <c r="J11" s="478">
        <v>50</v>
      </c>
      <c r="K11" s="478">
        <v>815</v>
      </c>
      <c r="L11" s="478">
        <v>0</v>
      </c>
      <c r="M11" s="478">
        <v>0</v>
      </c>
      <c r="N11" s="478">
        <f>K11+L11+M11</f>
        <v>815</v>
      </c>
      <c r="O11" s="84">
        <v>0</v>
      </c>
      <c r="P11" s="691">
        <v>0</v>
      </c>
      <c r="Q11" s="691">
        <v>0</v>
      </c>
      <c r="R11" s="691">
        <v>0</v>
      </c>
    </row>
    <row r="12" spans="1:20" s="161" customFormat="1" ht="16.149999999999999" customHeight="1">
      <c r="A12" s="5">
        <v>2</v>
      </c>
      <c r="B12" s="480" t="s">
        <v>914</v>
      </c>
      <c r="C12" s="478">
        <v>1756</v>
      </c>
      <c r="D12" s="478">
        <v>276</v>
      </c>
      <c r="E12" s="478">
        <v>0</v>
      </c>
      <c r="F12" s="478">
        <f t="shared" ref="F12:F40" si="0">C12+D12+E12</f>
        <v>2032</v>
      </c>
      <c r="G12" s="478">
        <v>1364</v>
      </c>
      <c r="H12" s="478">
        <v>263</v>
      </c>
      <c r="I12" s="478">
        <v>0</v>
      </c>
      <c r="J12" s="478">
        <v>1627</v>
      </c>
      <c r="K12" s="478">
        <v>201</v>
      </c>
      <c r="L12" s="478">
        <v>0</v>
      </c>
      <c r="M12" s="478">
        <v>0</v>
      </c>
      <c r="N12" s="478">
        <f t="shared" ref="N12:N40" si="1">K12+L12+M12</f>
        <v>201</v>
      </c>
      <c r="O12" s="691">
        <v>0</v>
      </c>
      <c r="P12" s="691">
        <v>0</v>
      </c>
      <c r="Q12" s="691">
        <v>0</v>
      </c>
      <c r="R12" s="691">
        <v>0</v>
      </c>
    </row>
    <row r="13" spans="1:20" s="161" customFormat="1" ht="16.149999999999999" customHeight="1">
      <c r="A13" s="461">
        <v>3</v>
      </c>
      <c r="B13" s="480" t="s">
        <v>915</v>
      </c>
      <c r="C13" s="478">
        <v>1210</v>
      </c>
      <c r="D13" s="478">
        <v>322</v>
      </c>
      <c r="E13" s="478">
        <v>0</v>
      </c>
      <c r="F13" s="478">
        <f t="shared" si="0"/>
        <v>1532</v>
      </c>
      <c r="G13" s="478">
        <v>1130</v>
      </c>
      <c r="H13" s="478">
        <v>325</v>
      </c>
      <c r="I13" s="478">
        <v>0</v>
      </c>
      <c r="J13" s="478">
        <v>1455</v>
      </c>
      <c r="K13" s="478">
        <v>451</v>
      </c>
      <c r="L13" s="478">
        <v>0</v>
      </c>
      <c r="M13" s="478">
        <v>0</v>
      </c>
      <c r="N13" s="478">
        <f t="shared" si="1"/>
        <v>451</v>
      </c>
      <c r="O13" s="691">
        <v>0</v>
      </c>
      <c r="P13" s="691">
        <v>0</v>
      </c>
      <c r="Q13" s="691">
        <v>0</v>
      </c>
      <c r="R13" s="691">
        <v>0</v>
      </c>
    </row>
    <row r="14" spans="1:20" s="161" customFormat="1" ht="16.149999999999999" customHeight="1">
      <c r="A14" s="461">
        <v>4</v>
      </c>
      <c r="B14" s="480" t="s">
        <v>916</v>
      </c>
      <c r="C14" s="478">
        <v>2023</v>
      </c>
      <c r="D14" s="478">
        <v>261</v>
      </c>
      <c r="E14" s="478">
        <v>0</v>
      </c>
      <c r="F14" s="478">
        <f t="shared" si="0"/>
        <v>2284</v>
      </c>
      <c r="G14" s="478">
        <v>2082</v>
      </c>
      <c r="H14" s="478">
        <v>225</v>
      </c>
      <c r="I14" s="478">
        <v>0</v>
      </c>
      <c r="J14" s="478">
        <v>2307</v>
      </c>
      <c r="K14" s="478">
        <v>236</v>
      </c>
      <c r="L14" s="478">
        <v>0</v>
      </c>
      <c r="M14" s="478">
        <v>0</v>
      </c>
      <c r="N14" s="478">
        <f t="shared" si="1"/>
        <v>236</v>
      </c>
      <c r="O14" s="691">
        <v>0</v>
      </c>
      <c r="P14" s="691">
        <v>0</v>
      </c>
      <c r="Q14" s="691">
        <v>0</v>
      </c>
      <c r="R14" s="691">
        <v>0</v>
      </c>
    </row>
    <row r="15" spans="1:20" s="161" customFormat="1" ht="16.149999999999999" customHeight="1">
      <c r="A15" s="461">
        <v>5</v>
      </c>
      <c r="B15" s="480" t="s">
        <v>917</v>
      </c>
      <c r="C15" s="478">
        <v>1140</v>
      </c>
      <c r="D15" s="478">
        <v>65</v>
      </c>
      <c r="E15" s="478">
        <v>0</v>
      </c>
      <c r="F15" s="478">
        <f t="shared" si="0"/>
        <v>1205</v>
      </c>
      <c r="G15" s="478">
        <v>811</v>
      </c>
      <c r="H15" s="478">
        <v>51</v>
      </c>
      <c r="I15" s="478">
        <v>0</v>
      </c>
      <c r="J15" s="478">
        <v>862</v>
      </c>
      <c r="K15" s="478">
        <v>321</v>
      </c>
      <c r="L15" s="478">
        <v>0</v>
      </c>
      <c r="M15" s="478">
        <v>0</v>
      </c>
      <c r="N15" s="478">
        <f t="shared" si="1"/>
        <v>321</v>
      </c>
      <c r="O15" s="691">
        <v>0</v>
      </c>
      <c r="P15" s="691">
        <v>0</v>
      </c>
      <c r="Q15" s="691">
        <v>0</v>
      </c>
      <c r="R15" s="691">
        <v>0</v>
      </c>
    </row>
    <row r="16" spans="1:20" s="161" customFormat="1" ht="16.149999999999999" customHeight="1">
      <c r="A16" s="461">
        <v>6</v>
      </c>
      <c r="B16" s="480" t="s">
        <v>918</v>
      </c>
      <c r="C16" s="478">
        <v>1349</v>
      </c>
      <c r="D16" s="478">
        <v>102</v>
      </c>
      <c r="E16" s="478">
        <v>0</v>
      </c>
      <c r="F16" s="478">
        <f t="shared" si="0"/>
        <v>1451</v>
      </c>
      <c r="G16" s="478">
        <v>968</v>
      </c>
      <c r="H16" s="478">
        <v>95</v>
      </c>
      <c r="I16" s="478">
        <v>0</v>
      </c>
      <c r="J16" s="478">
        <v>1063</v>
      </c>
      <c r="K16" s="478">
        <v>392</v>
      </c>
      <c r="L16" s="478">
        <v>0</v>
      </c>
      <c r="M16" s="478">
        <v>0</v>
      </c>
      <c r="N16" s="478">
        <f t="shared" si="1"/>
        <v>392</v>
      </c>
      <c r="O16" s="691">
        <v>0</v>
      </c>
      <c r="P16" s="691">
        <v>0</v>
      </c>
      <c r="Q16" s="691">
        <v>0</v>
      </c>
      <c r="R16" s="691">
        <v>0</v>
      </c>
    </row>
    <row r="17" spans="1:18" s="161" customFormat="1" ht="16.149999999999999" customHeight="1">
      <c r="A17" s="461">
        <v>7</v>
      </c>
      <c r="B17" s="480" t="s">
        <v>919</v>
      </c>
      <c r="C17" s="478">
        <v>1934</v>
      </c>
      <c r="D17" s="478">
        <v>113</v>
      </c>
      <c r="E17" s="478">
        <v>0</v>
      </c>
      <c r="F17" s="478">
        <f t="shared" si="0"/>
        <v>2047</v>
      </c>
      <c r="G17" s="478">
        <v>1471</v>
      </c>
      <c r="H17" s="478">
        <v>98</v>
      </c>
      <c r="I17" s="478">
        <v>0</v>
      </c>
      <c r="J17" s="478">
        <v>1569</v>
      </c>
      <c r="K17" s="478">
        <v>599</v>
      </c>
      <c r="L17" s="478">
        <v>0</v>
      </c>
      <c r="M17" s="478">
        <v>0</v>
      </c>
      <c r="N17" s="478">
        <f t="shared" si="1"/>
        <v>599</v>
      </c>
      <c r="O17" s="691">
        <v>0</v>
      </c>
      <c r="P17" s="691">
        <v>0</v>
      </c>
      <c r="Q17" s="691">
        <v>0</v>
      </c>
      <c r="R17" s="691">
        <v>0</v>
      </c>
    </row>
    <row r="18" spans="1:18" s="161" customFormat="1" ht="16.149999999999999" customHeight="1">
      <c r="A18" s="461">
        <v>8</v>
      </c>
      <c r="B18" s="480" t="s">
        <v>920</v>
      </c>
      <c r="C18" s="478">
        <v>1556</v>
      </c>
      <c r="D18" s="478">
        <v>94</v>
      </c>
      <c r="E18" s="478">
        <v>0</v>
      </c>
      <c r="F18" s="478">
        <f t="shared" si="0"/>
        <v>1650</v>
      </c>
      <c r="G18" s="478">
        <v>1266</v>
      </c>
      <c r="H18" s="478">
        <v>77</v>
      </c>
      <c r="I18" s="478">
        <v>0</v>
      </c>
      <c r="J18" s="478">
        <v>1343</v>
      </c>
      <c r="K18" s="478">
        <v>445</v>
      </c>
      <c r="L18" s="478">
        <v>0</v>
      </c>
      <c r="M18" s="478">
        <v>0</v>
      </c>
      <c r="N18" s="478">
        <f t="shared" si="1"/>
        <v>445</v>
      </c>
      <c r="O18" s="691">
        <v>0</v>
      </c>
      <c r="P18" s="691">
        <v>0</v>
      </c>
      <c r="Q18" s="691">
        <v>0</v>
      </c>
      <c r="R18" s="691">
        <v>0</v>
      </c>
    </row>
    <row r="19" spans="1:18" s="161" customFormat="1" ht="16.149999999999999" customHeight="1">
      <c r="A19" s="461">
        <v>9</v>
      </c>
      <c r="B19" s="480" t="s">
        <v>921</v>
      </c>
      <c r="C19" s="478">
        <v>3537</v>
      </c>
      <c r="D19" s="478">
        <v>368</v>
      </c>
      <c r="E19" s="478">
        <v>0</v>
      </c>
      <c r="F19" s="478">
        <f t="shared" si="0"/>
        <v>3905</v>
      </c>
      <c r="G19" s="478">
        <v>2345</v>
      </c>
      <c r="H19" s="478">
        <v>337</v>
      </c>
      <c r="I19" s="478">
        <v>0</v>
      </c>
      <c r="J19" s="478">
        <v>2682</v>
      </c>
      <c r="K19" s="478">
        <v>1124</v>
      </c>
      <c r="L19" s="478">
        <v>0</v>
      </c>
      <c r="M19" s="478">
        <v>0</v>
      </c>
      <c r="N19" s="478">
        <f t="shared" si="1"/>
        <v>1124</v>
      </c>
      <c r="O19" s="691">
        <v>0</v>
      </c>
      <c r="P19" s="691">
        <v>0</v>
      </c>
      <c r="Q19" s="691">
        <v>0</v>
      </c>
      <c r="R19" s="691">
        <v>0</v>
      </c>
    </row>
    <row r="20" spans="1:18" s="161" customFormat="1" ht="16.149999999999999" customHeight="1">
      <c r="A20" s="461">
        <v>10</v>
      </c>
      <c r="B20" s="480" t="s">
        <v>923</v>
      </c>
      <c r="C20" s="478">
        <v>2098</v>
      </c>
      <c r="D20" s="478">
        <v>269</v>
      </c>
      <c r="E20" s="478">
        <v>0</v>
      </c>
      <c r="F20" s="478">
        <f t="shared" si="0"/>
        <v>2367</v>
      </c>
      <c r="G20" s="478">
        <v>1639</v>
      </c>
      <c r="H20" s="478">
        <v>244</v>
      </c>
      <c r="I20" s="478">
        <v>0</v>
      </c>
      <c r="J20" s="478">
        <v>1883</v>
      </c>
      <c r="K20" s="478">
        <v>426</v>
      </c>
      <c r="L20" s="478">
        <v>0</v>
      </c>
      <c r="M20" s="478">
        <v>0</v>
      </c>
      <c r="N20" s="478">
        <f t="shared" si="1"/>
        <v>426</v>
      </c>
      <c r="O20" s="691">
        <v>0</v>
      </c>
      <c r="P20" s="691">
        <v>0</v>
      </c>
      <c r="Q20" s="691">
        <v>0</v>
      </c>
      <c r="R20" s="691">
        <v>0</v>
      </c>
    </row>
    <row r="21" spans="1:18" s="161" customFormat="1" ht="16.149999999999999" customHeight="1">
      <c r="A21" s="461">
        <v>11</v>
      </c>
      <c r="B21" s="480" t="s">
        <v>924</v>
      </c>
      <c r="C21" s="478">
        <v>1803</v>
      </c>
      <c r="D21" s="478">
        <v>156</v>
      </c>
      <c r="E21" s="478">
        <v>0</v>
      </c>
      <c r="F21" s="478">
        <f t="shared" si="0"/>
        <v>1959</v>
      </c>
      <c r="G21" s="478">
        <v>1392</v>
      </c>
      <c r="H21" s="478">
        <v>104</v>
      </c>
      <c r="I21" s="478">
        <v>0</v>
      </c>
      <c r="J21" s="478">
        <v>1496</v>
      </c>
      <c r="K21" s="478">
        <v>489</v>
      </c>
      <c r="L21" s="478">
        <v>0</v>
      </c>
      <c r="M21" s="478">
        <v>0</v>
      </c>
      <c r="N21" s="478">
        <f t="shared" si="1"/>
        <v>489</v>
      </c>
      <c r="O21" s="691">
        <v>0</v>
      </c>
      <c r="P21" s="691">
        <v>0</v>
      </c>
      <c r="Q21" s="691">
        <v>0</v>
      </c>
      <c r="R21" s="691">
        <v>0</v>
      </c>
    </row>
    <row r="22" spans="1:18" s="161" customFormat="1" ht="16.149999999999999" customHeight="1">
      <c r="A22" s="461">
        <v>12</v>
      </c>
      <c r="B22" s="480" t="s">
        <v>925</v>
      </c>
      <c r="C22" s="478">
        <v>837</v>
      </c>
      <c r="D22" s="478">
        <v>95</v>
      </c>
      <c r="E22" s="478">
        <v>0</v>
      </c>
      <c r="F22" s="478">
        <f t="shared" si="0"/>
        <v>932</v>
      </c>
      <c r="G22" s="478">
        <v>573</v>
      </c>
      <c r="H22" s="478">
        <v>80</v>
      </c>
      <c r="I22" s="478">
        <v>0</v>
      </c>
      <c r="J22" s="478">
        <v>653</v>
      </c>
      <c r="K22" s="478">
        <v>272</v>
      </c>
      <c r="L22" s="478">
        <v>0</v>
      </c>
      <c r="M22" s="478">
        <v>0</v>
      </c>
      <c r="N22" s="478">
        <f t="shared" si="1"/>
        <v>272</v>
      </c>
      <c r="O22" s="691">
        <v>0</v>
      </c>
      <c r="P22" s="691">
        <v>0</v>
      </c>
      <c r="Q22" s="691">
        <v>0</v>
      </c>
      <c r="R22" s="691">
        <v>0</v>
      </c>
    </row>
    <row r="23" spans="1:18" s="161" customFormat="1" ht="16.149999999999999" customHeight="1">
      <c r="A23" s="461">
        <v>13</v>
      </c>
      <c r="B23" s="480" t="s">
        <v>926</v>
      </c>
      <c r="C23" s="478">
        <v>439</v>
      </c>
      <c r="D23" s="478">
        <v>55</v>
      </c>
      <c r="E23" s="478">
        <v>3</v>
      </c>
      <c r="F23" s="478">
        <f t="shared" si="0"/>
        <v>497</v>
      </c>
      <c r="G23" s="478">
        <v>364</v>
      </c>
      <c r="H23" s="478">
        <v>61</v>
      </c>
      <c r="I23" s="478">
        <v>0</v>
      </c>
      <c r="J23" s="478">
        <v>425</v>
      </c>
      <c r="K23" s="478">
        <v>89</v>
      </c>
      <c r="L23" s="478">
        <v>0</v>
      </c>
      <c r="M23" s="478">
        <v>0</v>
      </c>
      <c r="N23" s="478">
        <f t="shared" si="1"/>
        <v>89</v>
      </c>
      <c r="O23" s="691">
        <v>0</v>
      </c>
      <c r="P23" s="691">
        <v>0</v>
      </c>
      <c r="Q23" s="691">
        <v>0</v>
      </c>
      <c r="R23" s="691">
        <v>0</v>
      </c>
    </row>
    <row r="24" spans="1:18" s="161" customFormat="1" ht="16.149999999999999" customHeight="1">
      <c r="A24" s="461">
        <v>14</v>
      </c>
      <c r="B24" s="480" t="s">
        <v>927</v>
      </c>
      <c r="C24" s="478">
        <v>2580</v>
      </c>
      <c r="D24" s="478">
        <v>184</v>
      </c>
      <c r="E24" s="478">
        <v>0</v>
      </c>
      <c r="F24" s="478">
        <f t="shared" si="0"/>
        <v>2764</v>
      </c>
      <c r="G24" s="478">
        <v>2071</v>
      </c>
      <c r="H24" s="478">
        <v>175</v>
      </c>
      <c r="I24" s="478">
        <v>0</v>
      </c>
      <c r="J24" s="478">
        <v>2246</v>
      </c>
      <c r="K24" s="478">
        <v>431</v>
      </c>
      <c r="L24" s="478">
        <v>0</v>
      </c>
      <c r="M24" s="478">
        <v>0</v>
      </c>
      <c r="N24" s="478">
        <f t="shared" si="1"/>
        <v>431</v>
      </c>
      <c r="O24" s="691">
        <v>0</v>
      </c>
      <c r="P24" s="691">
        <v>0</v>
      </c>
      <c r="Q24" s="691">
        <v>0</v>
      </c>
      <c r="R24" s="691">
        <v>0</v>
      </c>
    </row>
    <row r="25" spans="1:18" s="161" customFormat="1" ht="16.149999999999999" customHeight="1">
      <c r="A25" s="461">
        <v>15</v>
      </c>
      <c r="B25" s="480" t="s">
        <v>928</v>
      </c>
      <c r="C25" s="478">
        <v>1462</v>
      </c>
      <c r="D25" s="478">
        <v>137</v>
      </c>
      <c r="E25" s="478">
        <v>0</v>
      </c>
      <c r="F25" s="478">
        <f t="shared" si="0"/>
        <v>1599</v>
      </c>
      <c r="G25" s="478">
        <v>1167</v>
      </c>
      <c r="H25" s="478">
        <v>142</v>
      </c>
      <c r="I25" s="478">
        <v>0</v>
      </c>
      <c r="J25" s="478">
        <v>1309</v>
      </c>
      <c r="K25" s="478">
        <v>292</v>
      </c>
      <c r="L25" s="478">
        <v>0</v>
      </c>
      <c r="M25" s="478">
        <v>0</v>
      </c>
      <c r="N25" s="478">
        <f t="shared" si="1"/>
        <v>292</v>
      </c>
      <c r="O25" s="691">
        <v>0</v>
      </c>
      <c r="P25" s="691">
        <v>0</v>
      </c>
      <c r="Q25" s="691">
        <v>0</v>
      </c>
      <c r="R25" s="691">
        <v>0</v>
      </c>
    </row>
    <row r="26" spans="1:18" s="161" customFormat="1" ht="16.149999999999999" customHeight="1">
      <c r="A26" s="461">
        <v>16</v>
      </c>
      <c r="B26" s="481" t="s">
        <v>929</v>
      </c>
      <c r="C26" s="478">
        <v>1064</v>
      </c>
      <c r="D26" s="478">
        <v>319</v>
      </c>
      <c r="E26" s="478">
        <v>0</v>
      </c>
      <c r="F26" s="478">
        <f t="shared" si="0"/>
        <v>1383</v>
      </c>
      <c r="G26" s="478">
        <v>828</v>
      </c>
      <c r="H26" s="478">
        <v>341</v>
      </c>
      <c r="I26" s="478">
        <v>0</v>
      </c>
      <c r="J26" s="478">
        <v>1169</v>
      </c>
      <c r="K26" s="478">
        <v>282</v>
      </c>
      <c r="L26" s="478">
        <v>0</v>
      </c>
      <c r="M26" s="478">
        <v>0</v>
      </c>
      <c r="N26" s="478">
        <f t="shared" si="1"/>
        <v>282</v>
      </c>
      <c r="O26" s="691">
        <v>0</v>
      </c>
      <c r="P26" s="691">
        <v>0</v>
      </c>
      <c r="Q26" s="691">
        <v>0</v>
      </c>
      <c r="R26" s="691">
        <v>0</v>
      </c>
    </row>
    <row r="27" spans="1:18" s="161" customFormat="1" ht="16.149999999999999" customHeight="1">
      <c r="A27" s="461">
        <v>17</v>
      </c>
      <c r="B27" s="480" t="s">
        <v>930</v>
      </c>
      <c r="C27" s="478">
        <v>693</v>
      </c>
      <c r="D27" s="478">
        <v>254</v>
      </c>
      <c r="E27" s="478">
        <v>0</v>
      </c>
      <c r="F27" s="478">
        <f t="shared" si="0"/>
        <v>947</v>
      </c>
      <c r="G27" s="478">
        <v>495</v>
      </c>
      <c r="H27" s="478">
        <v>291</v>
      </c>
      <c r="I27" s="478">
        <v>0</v>
      </c>
      <c r="J27" s="478">
        <v>786</v>
      </c>
      <c r="K27" s="478">
        <v>217</v>
      </c>
      <c r="L27" s="478">
        <v>0</v>
      </c>
      <c r="M27" s="478">
        <v>0</v>
      </c>
      <c r="N27" s="478">
        <f t="shared" si="1"/>
        <v>217</v>
      </c>
      <c r="O27" s="691">
        <v>0</v>
      </c>
      <c r="P27" s="691">
        <v>0</v>
      </c>
      <c r="Q27" s="691">
        <v>0</v>
      </c>
      <c r="R27" s="691">
        <v>0</v>
      </c>
    </row>
    <row r="28" spans="1:18" s="161" customFormat="1" ht="16.149999999999999" customHeight="1">
      <c r="A28" s="461">
        <v>18</v>
      </c>
      <c r="B28" s="481" t="s">
        <v>931</v>
      </c>
      <c r="C28" s="478">
        <v>834</v>
      </c>
      <c r="D28" s="478">
        <v>207</v>
      </c>
      <c r="E28" s="478">
        <v>2</v>
      </c>
      <c r="F28" s="478">
        <f t="shared" si="0"/>
        <v>1043</v>
      </c>
      <c r="G28" s="478">
        <v>50</v>
      </c>
      <c r="H28" s="478">
        <v>0</v>
      </c>
      <c r="I28" s="478">
        <v>0</v>
      </c>
      <c r="J28" s="478">
        <v>50</v>
      </c>
      <c r="K28" s="478">
        <v>485</v>
      </c>
      <c r="L28" s="478">
        <v>0</v>
      </c>
      <c r="M28" s="478">
        <v>0</v>
      </c>
      <c r="N28" s="478">
        <f t="shared" si="1"/>
        <v>485</v>
      </c>
      <c r="O28" s="691">
        <v>0</v>
      </c>
      <c r="P28" s="691">
        <v>0</v>
      </c>
      <c r="Q28" s="691">
        <v>0</v>
      </c>
      <c r="R28" s="691">
        <v>0</v>
      </c>
    </row>
    <row r="29" spans="1:18" s="161" customFormat="1" ht="16.149999999999999" customHeight="1">
      <c r="A29" s="461">
        <v>19</v>
      </c>
      <c r="B29" s="480" t="s">
        <v>932</v>
      </c>
      <c r="C29" s="478">
        <v>2214</v>
      </c>
      <c r="D29" s="478">
        <v>182</v>
      </c>
      <c r="E29" s="478">
        <v>0</v>
      </c>
      <c r="F29" s="478">
        <f t="shared" si="0"/>
        <v>2396</v>
      </c>
      <c r="G29" s="478">
        <v>1954</v>
      </c>
      <c r="H29" s="478">
        <v>185</v>
      </c>
      <c r="I29" s="478">
        <v>0</v>
      </c>
      <c r="J29" s="478">
        <v>2139</v>
      </c>
      <c r="K29" s="478">
        <v>239</v>
      </c>
      <c r="L29" s="478">
        <v>0</v>
      </c>
      <c r="M29" s="478">
        <v>0</v>
      </c>
      <c r="N29" s="478">
        <f t="shared" si="1"/>
        <v>239</v>
      </c>
      <c r="O29" s="691">
        <v>0</v>
      </c>
      <c r="P29" s="691">
        <v>0</v>
      </c>
      <c r="Q29" s="691">
        <v>0</v>
      </c>
      <c r="R29" s="691">
        <v>0</v>
      </c>
    </row>
    <row r="30" spans="1:18" s="161" customFormat="1" ht="16.149999999999999" customHeight="1">
      <c r="A30" s="461">
        <v>20</v>
      </c>
      <c r="B30" s="480" t="s">
        <v>934</v>
      </c>
      <c r="C30" s="478">
        <v>1273</v>
      </c>
      <c r="D30" s="478">
        <v>216</v>
      </c>
      <c r="E30" s="478">
        <v>2</v>
      </c>
      <c r="F30" s="478">
        <f t="shared" si="0"/>
        <v>1491</v>
      </c>
      <c r="G30" s="478">
        <v>909</v>
      </c>
      <c r="H30" s="478">
        <v>196</v>
      </c>
      <c r="I30" s="478">
        <v>0</v>
      </c>
      <c r="J30" s="478">
        <v>1105</v>
      </c>
      <c r="K30" s="478">
        <v>252</v>
      </c>
      <c r="L30" s="478">
        <v>0</v>
      </c>
      <c r="M30" s="478">
        <v>0</v>
      </c>
      <c r="N30" s="478">
        <f t="shared" si="1"/>
        <v>252</v>
      </c>
      <c r="O30" s="691">
        <v>0</v>
      </c>
      <c r="P30" s="691">
        <v>0</v>
      </c>
      <c r="Q30" s="691">
        <v>0</v>
      </c>
      <c r="R30" s="691">
        <v>0</v>
      </c>
    </row>
    <row r="31" spans="1:18" s="161" customFormat="1" ht="16.149999999999999" customHeight="1">
      <c r="A31" s="461">
        <v>21</v>
      </c>
      <c r="B31" s="480" t="s">
        <v>935</v>
      </c>
      <c r="C31" s="478">
        <v>684</v>
      </c>
      <c r="D31" s="478">
        <v>136</v>
      </c>
      <c r="E31" s="478">
        <v>1</v>
      </c>
      <c r="F31" s="478">
        <f t="shared" si="0"/>
        <v>821</v>
      </c>
      <c r="G31" s="478">
        <v>511</v>
      </c>
      <c r="H31" s="478">
        <v>137</v>
      </c>
      <c r="I31" s="478">
        <v>0</v>
      </c>
      <c r="J31" s="478">
        <v>648</v>
      </c>
      <c r="K31" s="478">
        <v>201</v>
      </c>
      <c r="L31" s="478">
        <v>0</v>
      </c>
      <c r="M31" s="478">
        <v>0</v>
      </c>
      <c r="N31" s="478">
        <f t="shared" si="1"/>
        <v>201</v>
      </c>
      <c r="O31" s="691">
        <v>0</v>
      </c>
      <c r="P31" s="691">
        <v>0</v>
      </c>
      <c r="Q31" s="691">
        <v>0</v>
      </c>
      <c r="R31" s="691">
        <v>0</v>
      </c>
    </row>
    <row r="32" spans="1:18" s="161" customFormat="1" ht="16.149999999999999" customHeight="1">
      <c r="A32" s="461">
        <v>22</v>
      </c>
      <c r="B32" s="480" t="s">
        <v>936</v>
      </c>
      <c r="C32" s="478">
        <v>3414</v>
      </c>
      <c r="D32" s="478">
        <v>579</v>
      </c>
      <c r="E32" s="478">
        <v>2</v>
      </c>
      <c r="F32" s="478">
        <f t="shared" si="0"/>
        <v>3995</v>
      </c>
      <c r="G32" s="478">
        <v>2269</v>
      </c>
      <c r="H32" s="478">
        <v>563</v>
      </c>
      <c r="I32" s="478">
        <v>0</v>
      </c>
      <c r="J32" s="478">
        <v>2832</v>
      </c>
      <c r="K32" s="478">
        <v>798</v>
      </c>
      <c r="L32" s="478">
        <v>0</v>
      </c>
      <c r="M32" s="478">
        <v>0</v>
      </c>
      <c r="N32" s="478">
        <f t="shared" si="1"/>
        <v>798</v>
      </c>
      <c r="O32" s="691">
        <v>0</v>
      </c>
      <c r="P32" s="691">
        <v>0</v>
      </c>
      <c r="Q32" s="691">
        <v>0</v>
      </c>
      <c r="R32" s="691">
        <v>0</v>
      </c>
    </row>
    <row r="33" spans="1:19" s="161" customFormat="1" ht="16.149999999999999" customHeight="1">
      <c r="A33" s="461">
        <v>23</v>
      </c>
      <c r="B33" s="480" t="s">
        <v>938</v>
      </c>
      <c r="C33" s="478">
        <v>1425</v>
      </c>
      <c r="D33" s="478">
        <v>229</v>
      </c>
      <c r="E33" s="478">
        <v>0</v>
      </c>
      <c r="F33" s="478">
        <f t="shared" si="0"/>
        <v>1654</v>
      </c>
      <c r="G33" s="478">
        <v>1099</v>
      </c>
      <c r="H33" s="478">
        <v>214</v>
      </c>
      <c r="I33" s="478">
        <v>0</v>
      </c>
      <c r="J33" s="478">
        <v>1313</v>
      </c>
      <c r="K33" s="478">
        <v>151</v>
      </c>
      <c r="L33" s="478">
        <v>0</v>
      </c>
      <c r="M33" s="478">
        <v>0</v>
      </c>
      <c r="N33" s="478">
        <f t="shared" si="1"/>
        <v>151</v>
      </c>
      <c r="O33" s="691">
        <v>0</v>
      </c>
      <c r="P33" s="691">
        <v>0</v>
      </c>
      <c r="Q33" s="691">
        <v>0</v>
      </c>
      <c r="R33" s="691">
        <v>0</v>
      </c>
    </row>
    <row r="34" spans="1:19" s="161" customFormat="1" ht="16.149999999999999" customHeight="1">
      <c r="A34" s="461">
        <v>24</v>
      </c>
      <c r="B34" s="480" t="s">
        <v>939</v>
      </c>
      <c r="C34" s="478">
        <v>1946</v>
      </c>
      <c r="D34" s="478">
        <v>347</v>
      </c>
      <c r="E34" s="478">
        <v>0</v>
      </c>
      <c r="F34" s="478">
        <f t="shared" si="0"/>
        <v>2293</v>
      </c>
      <c r="G34" s="478">
        <v>1375</v>
      </c>
      <c r="H34" s="478">
        <v>317</v>
      </c>
      <c r="I34" s="478">
        <v>0</v>
      </c>
      <c r="J34" s="478">
        <v>1692</v>
      </c>
      <c r="K34" s="478">
        <v>491</v>
      </c>
      <c r="L34" s="478">
        <v>0</v>
      </c>
      <c r="M34" s="478">
        <v>0</v>
      </c>
      <c r="N34" s="478">
        <f t="shared" si="1"/>
        <v>491</v>
      </c>
      <c r="O34" s="691">
        <v>0</v>
      </c>
      <c r="P34" s="691">
        <v>0</v>
      </c>
      <c r="Q34" s="691">
        <v>0</v>
      </c>
      <c r="R34" s="691">
        <v>0</v>
      </c>
    </row>
    <row r="35" spans="1:19" s="161" customFormat="1" ht="16.149999999999999" customHeight="1">
      <c r="A35" s="461">
        <v>25</v>
      </c>
      <c r="B35" s="480" t="s">
        <v>940</v>
      </c>
      <c r="C35" s="478">
        <v>1355</v>
      </c>
      <c r="D35" s="478">
        <v>347</v>
      </c>
      <c r="E35" s="478">
        <v>1</v>
      </c>
      <c r="F35" s="478">
        <f t="shared" si="0"/>
        <v>1703</v>
      </c>
      <c r="G35" s="478">
        <v>759</v>
      </c>
      <c r="H35" s="478">
        <v>303</v>
      </c>
      <c r="I35" s="478">
        <v>0</v>
      </c>
      <c r="J35" s="478">
        <v>1062</v>
      </c>
      <c r="K35" s="478">
        <v>681</v>
      </c>
      <c r="L35" s="478">
        <v>0</v>
      </c>
      <c r="M35" s="478">
        <v>0</v>
      </c>
      <c r="N35" s="478">
        <f t="shared" si="1"/>
        <v>681</v>
      </c>
      <c r="O35" s="691">
        <v>0</v>
      </c>
      <c r="P35" s="691">
        <v>0</v>
      </c>
      <c r="Q35" s="691">
        <v>0</v>
      </c>
      <c r="R35" s="691">
        <v>0</v>
      </c>
    </row>
    <row r="36" spans="1:19" s="161" customFormat="1" ht="16.149999999999999" customHeight="1">
      <c r="A36" s="461">
        <v>26</v>
      </c>
      <c r="B36" s="480" t="s">
        <v>941</v>
      </c>
      <c r="C36" s="478">
        <v>1747</v>
      </c>
      <c r="D36" s="478">
        <v>199</v>
      </c>
      <c r="E36" s="478">
        <v>0</v>
      </c>
      <c r="F36" s="478">
        <f t="shared" si="0"/>
        <v>1946</v>
      </c>
      <c r="G36" s="478">
        <v>1005</v>
      </c>
      <c r="H36" s="478">
        <v>156</v>
      </c>
      <c r="I36" s="478">
        <v>0</v>
      </c>
      <c r="J36" s="478">
        <v>1161</v>
      </c>
      <c r="K36" s="478">
        <v>496</v>
      </c>
      <c r="L36" s="478">
        <v>0</v>
      </c>
      <c r="M36" s="478">
        <v>0</v>
      </c>
      <c r="N36" s="478">
        <f t="shared" si="1"/>
        <v>496</v>
      </c>
      <c r="O36" s="691">
        <v>0</v>
      </c>
      <c r="P36" s="691">
        <v>0</v>
      </c>
      <c r="Q36" s="691">
        <v>0</v>
      </c>
      <c r="R36" s="691">
        <v>0</v>
      </c>
    </row>
    <row r="37" spans="1:19" s="161" customFormat="1" ht="16.149999999999999" customHeight="1">
      <c r="A37" s="461">
        <v>27</v>
      </c>
      <c r="B37" s="480" t="s">
        <v>942</v>
      </c>
      <c r="C37" s="478">
        <v>2022</v>
      </c>
      <c r="D37" s="478">
        <v>327</v>
      </c>
      <c r="E37" s="478">
        <v>0</v>
      </c>
      <c r="F37" s="478">
        <f t="shared" si="0"/>
        <v>2349</v>
      </c>
      <c r="G37" s="478">
        <v>1271</v>
      </c>
      <c r="H37" s="478">
        <v>448</v>
      </c>
      <c r="I37" s="478">
        <v>0</v>
      </c>
      <c r="J37" s="478">
        <v>1719</v>
      </c>
      <c r="K37" s="478">
        <v>50</v>
      </c>
      <c r="L37" s="478">
        <v>0</v>
      </c>
      <c r="M37" s="478">
        <v>0</v>
      </c>
      <c r="N37" s="478">
        <f t="shared" si="1"/>
        <v>50</v>
      </c>
      <c r="O37" s="691">
        <v>0</v>
      </c>
      <c r="P37" s="691">
        <v>0</v>
      </c>
      <c r="Q37" s="691">
        <v>0</v>
      </c>
      <c r="R37" s="691">
        <v>0</v>
      </c>
    </row>
    <row r="38" spans="1:19" s="161" customFormat="1" ht="16.149999999999999" customHeight="1">
      <c r="A38" s="461">
        <v>28</v>
      </c>
      <c r="B38" s="480" t="s">
        <v>943</v>
      </c>
      <c r="C38" s="478">
        <v>1090</v>
      </c>
      <c r="D38" s="478">
        <v>61</v>
      </c>
      <c r="E38" s="478">
        <v>0</v>
      </c>
      <c r="F38" s="478">
        <f t="shared" si="0"/>
        <v>1151</v>
      </c>
      <c r="G38" s="478">
        <v>896</v>
      </c>
      <c r="H38" s="478">
        <v>42</v>
      </c>
      <c r="I38" s="478">
        <v>0</v>
      </c>
      <c r="J38" s="478">
        <v>938</v>
      </c>
      <c r="K38" s="478">
        <v>215</v>
      </c>
      <c r="L38" s="478">
        <v>0</v>
      </c>
      <c r="M38" s="478">
        <v>0</v>
      </c>
      <c r="N38" s="478">
        <f t="shared" si="1"/>
        <v>215</v>
      </c>
      <c r="O38" s="691">
        <v>0</v>
      </c>
      <c r="P38" s="691">
        <v>0</v>
      </c>
      <c r="Q38" s="691">
        <v>0</v>
      </c>
      <c r="R38" s="691">
        <v>0</v>
      </c>
    </row>
    <row r="39" spans="1:19" s="161" customFormat="1" ht="16.149999999999999" customHeight="1">
      <c r="A39" s="461">
        <v>29</v>
      </c>
      <c r="B39" s="480" t="s">
        <v>944</v>
      </c>
      <c r="C39" s="478">
        <v>1602</v>
      </c>
      <c r="D39" s="478">
        <v>88</v>
      </c>
      <c r="E39" s="478">
        <v>0</v>
      </c>
      <c r="F39" s="478">
        <f t="shared" si="0"/>
        <v>1690</v>
      </c>
      <c r="G39" s="478">
        <v>1777</v>
      </c>
      <c r="H39" s="478">
        <v>75</v>
      </c>
      <c r="I39" s="478">
        <v>0</v>
      </c>
      <c r="J39" s="478">
        <v>1852</v>
      </c>
      <c r="K39" s="478">
        <v>59</v>
      </c>
      <c r="L39" s="478">
        <v>0</v>
      </c>
      <c r="M39" s="478">
        <v>0</v>
      </c>
      <c r="N39" s="478">
        <f t="shared" si="1"/>
        <v>59</v>
      </c>
      <c r="O39" s="691">
        <v>0</v>
      </c>
      <c r="P39" s="691">
        <v>0</v>
      </c>
      <c r="Q39" s="691">
        <v>0</v>
      </c>
      <c r="R39" s="691">
        <v>0</v>
      </c>
    </row>
    <row r="40" spans="1:19" ht="15.75" customHeight="1">
      <c r="A40" s="461">
        <v>30</v>
      </c>
      <c r="B40" s="480" t="s">
        <v>945</v>
      </c>
      <c r="C40" s="479">
        <v>1040</v>
      </c>
      <c r="D40" s="479">
        <v>56</v>
      </c>
      <c r="E40" s="479">
        <v>0</v>
      </c>
      <c r="F40" s="478">
        <f t="shared" si="0"/>
        <v>1096</v>
      </c>
      <c r="G40" s="479">
        <v>952</v>
      </c>
      <c r="H40" s="479">
        <v>89</v>
      </c>
      <c r="I40" s="479">
        <v>0</v>
      </c>
      <c r="J40" s="479">
        <v>1041</v>
      </c>
      <c r="K40" s="478">
        <v>0</v>
      </c>
      <c r="L40" s="478">
        <v>0</v>
      </c>
      <c r="M40" s="478">
        <v>0</v>
      </c>
      <c r="N40" s="478">
        <f t="shared" si="1"/>
        <v>0</v>
      </c>
      <c r="O40" s="691">
        <v>0</v>
      </c>
      <c r="P40" s="691">
        <v>0</v>
      </c>
      <c r="Q40" s="691">
        <v>0</v>
      </c>
      <c r="R40" s="691">
        <v>0</v>
      </c>
    </row>
    <row r="41" spans="1:19" ht="15.75">
      <c r="A41" s="283" t="s">
        <v>17</v>
      </c>
      <c r="B41" s="80"/>
      <c r="C41" s="282">
        <f t="shared" ref="C41:F41" si="2">SUM(C11:C40)</f>
        <v>47617</v>
      </c>
      <c r="D41" s="282">
        <f t="shared" si="2"/>
        <v>6632</v>
      </c>
      <c r="E41" s="282">
        <f t="shared" si="2"/>
        <v>57</v>
      </c>
      <c r="F41" s="282">
        <f t="shared" si="2"/>
        <v>54306</v>
      </c>
      <c r="G41" s="282">
        <f>SUM(G11:G40)</f>
        <v>34843</v>
      </c>
      <c r="H41" s="282">
        <f>SUM(H11:H40)</f>
        <v>5634</v>
      </c>
      <c r="I41" s="282">
        <f>SUM(I11:I40)</f>
        <v>0</v>
      </c>
      <c r="J41" s="282">
        <f>SUM(J11:J40)</f>
        <v>40477</v>
      </c>
      <c r="K41" s="282">
        <f>SUM(K11:K40)</f>
        <v>11200</v>
      </c>
      <c r="L41" s="282">
        <f t="shared" ref="L41:N41" si="3">SUM(L11:L40)</f>
        <v>0</v>
      </c>
      <c r="M41" s="282">
        <f t="shared" si="3"/>
        <v>0</v>
      </c>
      <c r="N41" s="282">
        <f t="shared" si="3"/>
        <v>11200</v>
      </c>
      <c r="O41" s="691">
        <v>0</v>
      </c>
      <c r="P41" s="691">
        <v>0</v>
      </c>
      <c r="Q41" s="691">
        <v>0</v>
      </c>
      <c r="R41" s="691">
        <v>0</v>
      </c>
    </row>
    <row r="45" spans="1:19">
      <c r="D45" s="803" t="s">
        <v>906</v>
      </c>
      <c r="E45" s="803"/>
      <c r="F45" s="803"/>
      <c r="G45" s="14"/>
      <c r="H45" s="14"/>
      <c r="I45" s="464"/>
      <c r="J45" s="774"/>
      <c r="K45" s="804" t="s">
        <v>12</v>
      </c>
      <c r="L45" s="804"/>
      <c r="M45" s="804"/>
      <c r="N45" s="804"/>
      <c r="O45" s="804"/>
      <c r="Q45" s="367"/>
      <c r="R45" s="367"/>
      <c r="S45" s="367"/>
    </row>
    <row r="46" spans="1:19">
      <c r="D46" s="804" t="s">
        <v>907</v>
      </c>
      <c r="E46" s="804"/>
      <c r="F46" s="804"/>
      <c r="G46" s="464"/>
      <c r="H46" s="464"/>
      <c r="I46" s="464"/>
      <c r="J46" s="14"/>
      <c r="K46" s="803" t="s">
        <v>13</v>
      </c>
      <c r="L46" s="803"/>
      <c r="M46" s="803"/>
      <c r="N46" s="803"/>
      <c r="O46" s="803"/>
      <c r="P46" s="33"/>
      <c r="Q46" s="33"/>
      <c r="R46" s="33"/>
      <c r="S46" s="33"/>
    </row>
    <row r="47" spans="1:19">
      <c r="D47" s="804" t="s">
        <v>908</v>
      </c>
      <c r="E47" s="804"/>
      <c r="F47" s="804"/>
      <c r="G47" s="464"/>
      <c r="H47" s="464"/>
      <c r="I47" s="464"/>
      <c r="K47" s="803" t="s">
        <v>87</v>
      </c>
      <c r="L47" s="803"/>
      <c r="M47" s="803"/>
      <c r="N47" s="803"/>
      <c r="O47" s="803"/>
      <c r="P47" s="33"/>
      <c r="Q47" s="33"/>
      <c r="R47" s="33"/>
      <c r="S47" s="33"/>
    </row>
    <row r="48" spans="1:19">
      <c r="A48" s="278" t="s">
        <v>11</v>
      </c>
      <c r="B48" s="14"/>
      <c r="C48" s="464"/>
      <c r="D48" s="464"/>
      <c r="E48" s="464"/>
      <c r="F48" s="464"/>
      <c r="G48" s="464"/>
      <c r="H48" s="464"/>
      <c r="I48" s="464"/>
      <c r="J48" s="774"/>
      <c r="K48" s="14"/>
      <c r="L48" s="14"/>
      <c r="M48" s="14"/>
      <c r="N48" s="33" t="s">
        <v>84</v>
      </c>
      <c r="O48" s="33"/>
      <c r="P48" s="33"/>
      <c r="Q48" s="33"/>
      <c r="R48" s="33"/>
      <c r="S48" s="33"/>
    </row>
  </sheetData>
  <mergeCells count="16">
    <mergeCell ref="B4:T4"/>
    <mergeCell ref="A6:B6"/>
    <mergeCell ref="A8:A9"/>
    <mergeCell ref="B8:B9"/>
    <mergeCell ref="G1:M1"/>
    <mergeCell ref="E2:O2"/>
    <mergeCell ref="O8:R8"/>
    <mergeCell ref="D47:F47"/>
    <mergeCell ref="C8:F8"/>
    <mergeCell ref="K8:N8"/>
    <mergeCell ref="G8:J8"/>
    <mergeCell ref="D45:F45"/>
    <mergeCell ref="D46:F46"/>
    <mergeCell ref="K45:O45"/>
    <mergeCell ref="K46:O46"/>
    <mergeCell ref="K47:O47"/>
  </mergeCells>
  <phoneticPr fontId="0" type="noConversion"/>
  <printOptions horizontalCentered="1"/>
  <pageMargins left="0.70866141732283472" right="0.70866141732283472" top="0.23622047244094491" bottom="0" header="0.31496062992125984" footer="0.31496062992125984"/>
  <pageSetup paperSize="9" scale="71" orientation="landscape" r:id="rId1"/>
</worksheet>
</file>

<file path=xl/worksheets/sheet65.xml><?xml version="1.0" encoding="utf-8"?>
<worksheet xmlns="http://schemas.openxmlformats.org/spreadsheetml/2006/main" xmlns:r="http://schemas.openxmlformats.org/officeDocument/2006/relationships">
  <sheetPr codeName="Sheet65">
    <pageSetUpPr fitToPage="1"/>
  </sheetPr>
  <dimension ref="A1:AP53"/>
  <sheetViews>
    <sheetView view="pageBreakPreview" topLeftCell="A37" zoomScale="90" zoomScaleNormal="90" zoomScaleSheetLayoutView="90" workbookViewId="0">
      <selection activeCell="D52" sqref="D52"/>
    </sheetView>
  </sheetViews>
  <sheetFormatPr defaultRowHeight="15"/>
  <cols>
    <col min="1" max="1" width="7.28515625" style="74" customWidth="1"/>
    <col min="2" max="2" width="22" style="74" customWidth="1"/>
    <col min="3" max="3" width="15.42578125" style="74" customWidth="1"/>
    <col min="4" max="4" width="14.85546875" style="74" customWidth="1"/>
    <col min="5" max="5" width="11.85546875" style="74" customWidth="1"/>
    <col min="6" max="6" width="9.85546875" style="74" customWidth="1"/>
    <col min="7" max="7" width="12.7109375" style="74" customWidth="1"/>
    <col min="8" max="9" width="11" style="74" customWidth="1"/>
    <col min="10" max="10" width="14.140625" style="74" customWidth="1"/>
    <col min="11" max="11" width="12.28515625" style="74" customWidth="1"/>
    <col min="12" max="12" width="13.140625" style="74" customWidth="1"/>
    <col min="13" max="13" width="9.7109375" style="74" customWidth="1"/>
    <col min="14" max="14" width="9.5703125" style="74" customWidth="1"/>
    <col min="15" max="15" width="12.7109375" style="74" customWidth="1"/>
    <col min="16" max="16" width="13.28515625" style="74" customWidth="1"/>
    <col min="17" max="17" width="11.28515625" style="74" customWidth="1"/>
    <col min="18" max="18" width="9.28515625" style="74" customWidth="1"/>
    <col min="19" max="16384" width="9.140625" style="74"/>
  </cols>
  <sheetData>
    <row r="1" spans="1:19" s="15" customFormat="1" ht="15.75">
      <c r="C1" s="42"/>
      <c r="D1" s="42"/>
      <c r="E1" s="42"/>
      <c r="F1" s="42"/>
      <c r="G1" s="42"/>
      <c r="H1" s="42"/>
      <c r="I1" s="106" t="s">
        <v>0</v>
      </c>
      <c r="J1" s="42"/>
      <c r="Q1" s="962" t="s">
        <v>540</v>
      </c>
      <c r="R1" s="962"/>
    </row>
    <row r="2" spans="1:19" s="15" customFormat="1" ht="20.25">
      <c r="G2" s="848" t="s">
        <v>745</v>
      </c>
      <c r="H2" s="848"/>
      <c r="I2" s="848"/>
      <c r="J2" s="848"/>
      <c r="K2" s="848"/>
      <c r="L2" s="848"/>
      <c r="M2" s="848"/>
      <c r="N2" s="41"/>
      <c r="O2" s="41"/>
      <c r="P2" s="41"/>
      <c r="Q2" s="41"/>
    </row>
    <row r="3" spans="1:19" s="15" customFormat="1" ht="20.25">
      <c r="G3" s="127"/>
      <c r="H3" s="127"/>
      <c r="I3" s="127"/>
      <c r="J3" s="127"/>
      <c r="K3" s="127"/>
      <c r="L3" s="127"/>
      <c r="M3" s="127"/>
      <c r="N3" s="41"/>
      <c r="O3" s="41"/>
      <c r="P3" s="41"/>
      <c r="Q3" s="41"/>
    </row>
    <row r="4" spans="1:19" ht="18">
      <c r="B4" s="1169" t="s">
        <v>759</v>
      </c>
      <c r="C4" s="1169"/>
      <c r="D4" s="1169"/>
      <c r="E4" s="1169"/>
      <c r="F4" s="1169"/>
      <c r="G4" s="1169"/>
      <c r="H4" s="1169"/>
      <c r="I4" s="1169"/>
      <c r="J4" s="1169"/>
      <c r="K4" s="1169"/>
      <c r="L4" s="1169"/>
      <c r="M4" s="1169"/>
      <c r="N4" s="1169"/>
      <c r="O4" s="1169"/>
      <c r="P4" s="1169"/>
      <c r="Q4" s="1169"/>
      <c r="R4" s="1169"/>
      <c r="S4" s="1169"/>
    </row>
    <row r="5" spans="1:19" ht="15.75">
      <c r="C5" s="75"/>
      <c r="D5" s="76"/>
      <c r="E5" s="75"/>
      <c r="F5" s="75"/>
      <c r="G5" s="75"/>
      <c r="H5" s="75"/>
      <c r="I5" s="75"/>
      <c r="J5" s="75"/>
      <c r="K5" s="75"/>
      <c r="L5" s="75"/>
      <c r="M5" s="75"/>
      <c r="N5" s="75"/>
      <c r="O5" s="75"/>
      <c r="P5" s="75"/>
      <c r="Q5" s="75"/>
      <c r="R5" s="75"/>
      <c r="S5" s="75"/>
    </row>
    <row r="6" spans="1:19">
      <c r="A6" s="85" t="s">
        <v>989</v>
      </c>
    </row>
    <row r="7" spans="1:19">
      <c r="B7" s="77"/>
      <c r="Q7" s="115" t="s">
        <v>139</v>
      </c>
    </row>
    <row r="8" spans="1:19" s="78" customFormat="1" ht="32.450000000000003" customHeight="1">
      <c r="A8" s="834" t="s">
        <v>2</v>
      </c>
      <c r="B8" s="1166" t="s">
        <v>3</v>
      </c>
      <c r="C8" s="1161" t="s">
        <v>453</v>
      </c>
      <c r="D8" s="1161"/>
      <c r="E8" s="1161"/>
      <c r="F8" s="1161"/>
      <c r="G8" s="1161" t="s">
        <v>454</v>
      </c>
      <c r="H8" s="1161"/>
      <c r="I8" s="1161"/>
      <c r="J8" s="1161"/>
      <c r="K8" s="1161" t="s">
        <v>455</v>
      </c>
      <c r="L8" s="1161"/>
      <c r="M8" s="1161"/>
      <c r="N8" s="1161"/>
      <c r="O8" s="1161" t="s">
        <v>456</v>
      </c>
      <c r="P8" s="1161"/>
      <c r="Q8" s="1161"/>
      <c r="R8" s="1166"/>
      <c r="S8" s="1170" t="s">
        <v>161</v>
      </c>
    </row>
    <row r="9" spans="1:19" s="79" customFormat="1" ht="75" customHeight="1">
      <c r="A9" s="834"/>
      <c r="B9" s="1167"/>
      <c r="C9" s="84" t="s">
        <v>158</v>
      </c>
      <c r="D9" s="131" t="s">
        <v>160</v>
      </c>
      <c r="E9" s="84" t="s">
        <v>138</v>
      </c>
      <c r="F9" s="131" t="s">
        <v>159</v>
      </c>
      <c r="G9" s="84" t="s">
        <v>239</v>
      </c>
      <c r="H9" s="131" t="s">
        <v>160</v>
      </c>
      <c r="I9" s="84" t="s">
        <v>138</v>
      </c>
      <c r="J9" s="131" t="s">
        <v>159</v>
      </c>
      <c r="K9" s="84" t="s">
        <v>239</v>
      </c>
      <c r="L9" s="131" t="s">
        <v>160</v>
      </c>
      <c r="M9" s="84" t="s">
        <v>138</v>
      </c>
      <c r="N9" s="131" t="s">
        <v>159</v>
      </c>
      <c r="O9" s="84" t="s">
        <v>239</v>
      </c>
      <c r="P9" s="131" t="s">
        <v>160</v>
      </c>
      <c r="Q9" s="84" t="s">
        <v>138</v>
      </c>
      <c r="R9" s="132" t="s">
        <v>159</v>
      </c>
      <c r="S9" s="1170"/>
    </row>
    <row r="10" spans="1:19" s="79" customFormat="1" ht="16.149999999999999" customHeight="1">
      <c r="A10" s="5">
        <v>1</v>
      </c>
      <c r="B10" s="83">
        <v>2</v>
      </c>
      <c r="C10" s="73">
        <v>3</v>
      </c>
      <c r="D10" s="73">
        <v>4</v>
      </c>
      <c r="E10" s="73">
        <v>5</v>
      </c>
      <c r="F10" s="73">
        <v>6</v>
      </c>
      <c r="G10" s="73">
        <v>7</v>
      </c>
      <c r="H10" s="73">
        <v>8</v>
      </c>
      <c r="I10" s="73">
        <v>9</v>
      </c>
      <c r="J10" s="73">
        <v>10</v>
      </c>
      <c r="K10" s="73">
        <v>11</v>
      </c>
      <c r="L10" s="73">
        <v>12</v>
      </c>
      <c r="M10" s="73">
        <v>13</v>
      </c>
      <c r="N10" s="73">
        <v>14</v>
      </c>
      <c r="O10" s="73">
        <v>15</v>
      </c>
      <c r="P10" s="73">
        <v>16</v>
      </c>
      <c r="Q10" s="73">
        <v>17</v>
      </c>
      <c r="R10" s="124">
        <v>18</v>
      </c>
      <c r="S10" s="130">
        <v>19</v>
      </c>
    </row>
    <row r="11" spans="1:19" s="79" customFormat="1" ht="16.149999999999999" customHeight="1">
      <c r="A11" s="5">
        <v>1</v>
      </c>
      <c r="B11" s="397" t="s">
        <v>912</v>
      </c>
      <c r="C11" s="80">
        <v>0</v>
      </c>
      <c r="D11" s="80">
        <v>0</v>
      </c>
      <c r="E11" s="80">
        <v>0</v>
      </c>
      <c r="F11" s="80">
        <v>0</v>
      </c>
      <c r="G11" s="80">
        <v>0</v>
      </c>
      <c r="H11" s="80">
        <v>0</v>
      </c>
      <c r="I11" s="80">
        <v>0</v>
      </c>
      <c r="J11" s="80">
        <v>0</v>
      </c>
      <c r="K11" s="80">
        <v>0</v>
      </c>
      <c r="L11" s="80">
        <v>0</v>
      </c>
      <c r="M11" s="80">
        <v>0</v>
      </c>
      <c r="N11" s="80">
        <v>0</v>
      </c>
      <c r="O11" s="80">
        <v>0</v>
      </c>
      <c r="P11" s="80">
        <v>0</v>
      </c>
      <c r="Q11" s="80">
        <v>0</v>
      </c>
      <c r="R11" s="80">
        <v>0</v>
      </c>
      <c r="S11" s="80">
        <v>0</v>
      </c>
    </row>
    <row r="12" spans="1:19" s="79" customFormat="1" ht="16.149999999999999" customHeight="1">
      <c r="A12" s="461">
        <v>2</v>
      </c>
      <c r="B12" s="397" t="s">
        <v>913</v>
      </c>
      <c r="C12" s="80">
        <v>0</v>
      </c>
      <c r="D12" s="80">
        <v>0</v>
      </c>
      <c r="E12" s="80">
        <v>0</v>
      </c>
      <c r="F12" s="80">
        <v>0</v>
      </c>
      <c r="G12" s="80">
        <v>0</v>
      </c>
      <c r="H12" s="80">
        <v>0</v>
      </c>
      <c r="I12" s="80">
        <v>0</v>
      </c>
      <c r="J12" s="80">
        <v>0</v>
      </c>
      <c r="K12" s="80">
        <v>0</v>
      </c>
      <c r="L12" s="80">
        <v>0</v>
      </c>
      <c r="M12" s="80">
        <v>0</v>
      </c>
      <c r="N12" s="80">
        <v>0</v>
      </c>
      <c r="O12" s="80">
        <v>0</v>
      </c>
      <c r="P12" s="80">
        <v>0</v>
      </c>
      <c r="Q12" s="80">
        <v>0</v>
      </c>
      <c r="R12" s="80">
        <v>0</v>
      </c>
      <c r="S12" s="80">
        <v>0</v>
      </c>
    </row>
    <row r="13" spans="1:19" s="79" customFormat="1" ht="16.149999999999999" customHeight="1">
      <c r="A13" s="461">
        <v>3</v>
      </c>
      <c r="B13" s="397" t="s">
        <v>914</v>
      </c>
      <c r="C13" s="80">
        <v>0</v>
      </c>
      <c r="D13" s="80">
        <v>0</v>
      </c>
      <c r="E13" s="80">
        <v>0</v>
      </c>
      <c r="F13" s="80">
        <v>0</v>
      </c>
      <c r="G13" s="80">
        <v>0</v>
      </c>
      <c r="H13" s="80">
        <v>0</v>
      </c>
      <c r="I13" s="80">
        <v>0</v>
      </c>
      <c r="J13" s="80">
        <v>0</v>
      </c>
      <c r="K13" s="80">
        <v>0</v>
      </c>
      <c r="L13" s="80">
        <v>0</v>
      </c>
      <c r="M13" s="80">
        <v>0</v>
      </c>
      <c r="N13" s="80">
        <v>0</v>
      </c>
      <c r="O13" s="80">
        <v>0</v>
      </c>
      <c r="P13" s="80">
        <v>0</v>
      </c>
      <c r="Q13" s="80">
        <v>0</v>
      </c>
      <c r="R13" s="80">
        <v>0</v>
      </c>
      <c r="S13" s="80">
        <v>0</v>
      </c>
    </row>
    <row r="14" spans="1:19" s="79" customFormat="1" ht="16.149999999999999" customHeight="1">
      <c r="A14" s="461">
        <v>4</v>
      </c>
      <c r="B14" s="397" t="s">
        <v>915</v>
      </c>
      <c r="C14" s="80">
        <v>0</v>
      </c>
      <c r="D14" s="80">
        <v>0</v>
      </c>
      <c r="E14" s="80">
        <v>0</v>
      </c>
      <c r="F14" s="80">
        <v>0</v>
      </c>
      <c r="G14" s="80">
        <v>0</v>
      </c>
      <c r="H14" s="80">
        <v>0</v>
      </c>
      <c r="I14" s="80">
        <v>0</v>
      </c>
      <c r="J14" s="80">
        <v>0</v>
      </c>
      <c r="K14" s="80">
        <v>0</v>
      </c>
      <c r="L14" s="80">
        <v>0</v>
      </c>
      <c r="M14" s="80">
        <v>0</v>
      </c>
      <c r="N14" s="80">
        <v>0</v>
      </c>
      <c r="O14" s="80">
        <v>0</v>
      </c>
      <c r="P14" s="80">
        <v>0</v>
      </c>
      <c r="Q14" s="80">
        <v>0</v>
      </c>
      <c r="R14" s="80">
        <v>0</v>
      </c>
      <c r="S14" s="80">
        <v>0</v>
      </c>
    </row>
    <row r="15" spans="1:19" s="79" customFormat="1" ht="16.149999999999999" customHeight="1">
      <c r="A15" s="461">
        <v>5</v>
      </c>
      <c r="B15" s="397" t="s">
        <v>916</v>
      </c>
      <c r="C15" s="80">
        <v>0</v>
      </c>
      <c r="D15" s="80">
        <v>0</v>
      </c>
      <c r="E15" s="80">
        <v>0</v>
      </c>
      <c r="F15" s="80">
        <v>0</v>
      </c>
      <c r="G15" s="80">
        <v>0</v>
      </c>
      <c r="H15" s="80">
        <v>0</v>
      </c>
      <c r="I15" s="80">
        <v>0</v>
      </c>
      <c r="J15" s="80">
        <v>0</v>
      </c>
      <c r="K15" s="80">
        <v>0</v>
      </c>
      <c r="L15" s="80">
        <v>0</v>
      </c>
      <c r="M15" s="80">
        <v>0</v>
      </c>
      <c r="N15" s="80">
        <v>0</v>
      </c>
      <c r="O15" s="80">
        <v>0</v>
      </c>
      <c r="P15" s="80">
        <v>0</v>
      </c>
      <c r="Q15" s="80">
        <v>0</v>
      </c>
      <c r="R15" s="80">
        <v>0</v>
      </c>
      <c r="S15" s="80">
        <v>0</v>
      </c>
    </row>
    <row r="16" spans="1:19" s="79" customFormat="1" ht="16.149999999999999" customHeight="1">
      <c r="A16" s="461">
        <v>6</v>
      </c>
      <c r="B16" s="397" t="s">
        <v>917</v>
      </c>
      <c r="C16" s="80">
        <v>0</v>
      </c>
      <c r="D16" s="80">
        <v>0</v>
      </c>
      <c r="E16" s="80">
        <v>0</v>
      </c>
      <c r="F16" s="80">
        <v>0</v>
      </c>
      <c r="G16" s="80">
        <v>0</v>
      </c>
      <c r="H16" s="80">
        <v>0</v>
      </c>
      <c r="I16" s="80">
        <v>0</v>
      </c>
      <c r="J16" s="80">
        <v>0</v>
      </c>
      <c r="K16" s="80">
        <v>0</v>
      </c>
      <c r="L16" s="80">
        <v>0</v>
      </c>
      <c r="M16" s="80">
        <v>0</v>
      </c>
      <c r="N16" s="80">
        <v>0</v>
      </c>
      <c r="O16" s="80">
        <v>0</v>
      </c>
      <c r="P16" s="80">
        <v>0</v>
      </c>
      <c r="Q16" s="80">
        <v>0</v>
      </c>
      <c r="R16" s="80">
        <v>0</v>
      </c>
      <c r="S16" s="80">
        <v>0</v>
      </c>
    </row>
    <row r="17" spans="1:19" s="79" customFormat="1" ht="16.149999999999999" customHeight="1">
      <c r="A17" s="461">
        <v>7</v>
      </c>
      <c r="B17" s="397" t="s">
        <v>918</v>
      </c>
      <c r="C17" s="80">
        <v>0</v>
      </c>
      <c r="D17" s="80">
        <v>0</v>
      </c>
      <c r="E17" s="80">
        <v>0</v>
      </c>
      <c r="F17" s="80">
        <v>0</v>
      </c>
      <c r="G17" s="80">
        <v>0</v>
      </c>
      <c r="H17" s="80">
        <v>0</v>
      </c>
      <c r="I17" s="80">
        <v>0</v>
      </c>
      <c r="J17" s="80">
        <v>0</v>
      </c>
      <c r="K17" s="80">
        <v>0</v>
      </c>
      <c r="L17" s="80">
        <v>0</v>
      </c>
      <c r="M17" s="80">
        <v>0</v>
      </c>
      <c r="N17" s="80">
        <v>0</v>
      </c>
      <c r="O17" s="80">
        <v>0</v>
      </c>
      <c r="P17" s="80">
        <v>0</v>
      </c>
      <c r="Q17" s="80">
        <v>0</v>
      </c>
      <c r="R17" s="80">
        <v>0</v>
      </c>
      <c r="S17" s="80">
        <v>0</v>
      </c>
    </row>
    <row r="18" spans="1:19" s="79" customFormat="1" ht="16.149999999999999" customHeight="1">
      <c r="A18" s="461">
        <v>8</v>
      </c>
      <c r="B18" s="397" t="s">
        <v>919</v>
      </c>
      <c r="C18" s="80">
        <v>0</v>
      </c>
      <c r="D18" s="80">
        <v>0</v>
      </c>
      <c r="E18" s="80">
        <v>0</v>
      </c>
      <c r="F18" s="80">
        <v>0</v>
      </c>
      <c r="G18" s="80">
        <v>0</v>
      </c>
      <c r="H18" s="80">
        <v>0</v>
      </c>
      <c r="I18" s="80">
        <v>0</v>
      </c>
      <c r="J18" s="80">
        <v>0</v>
      </c>
      <c r="K18" s="80">
        <v>0</v>
      </c>
      <c r="L18" s="80">
        <v>0</v>
      </c>
      <c r="M18" s="80">
        <v>0</v>
      </c>
      <c r="N18" s="80">
        <v>0</v>
      </c>
      <c r="O18" s="80">
        <v>0</v>
      </c>
      <c r="P18" s="80">
        <v>0</v>
      </c>
      <c r="Q18" s="80">
        <v>0</v>
      </c>
      <c r="R18" s="80">
        <v>0</v>
      </c>
      <c r="S18" s="80">
        <v>0</v>
      </c>
    </row>
    <row r="19" spans="1:19" s="79" customFormat="1" ht="16.149999999999999" customHeight="1">
      <c r="A19" s="461">
        <v>9</v>
      </c>
      <c r="B19" s="397" t="s">
        <v>920</v>
      </c>
      <c r="C19" s="80">
        <v>0</v>
      </c>
      <c r="D19" s="80">
        <v>0</v>
      </c>
      <c r="E19" s="80">
        <v>0</v>
      </c>
      <c r="F19" s="80">
        <v>0</v>
      </c>
      <c r="G19" s="80">
        <v>0</v>
      </c>
      <c r="H19" s="80">
        <v>0</v>
      </c>
      <c r="I19" s="80">
        <v>0</v>
      </c>
      <c r="J19" s="80">
        <v>0</v>
      </c>
      <c r="K19" s="80">
        <v>0</v>
      </c>
      <c r="L19" s="80">
        <v>0</v>
      </c>
      <c r="M19" s="80">
        <v>0</v>
      </c>
      <c r="N19" s="80">
        <v>0</v>
      </c>
      <c r="O19" s="80">
        <v>0</v>
      </c>
      <c r="P19" s="80">
        <v>0</v>
      </c>
      <c r="Q19" s="80">
        <v>0</v>
      </c>
      <c r="R19" s="80">
        <v>0</v>
      </c>
      <c r="S19" s="80">
        <v>0</v>
      </c>
    </row>
    <row r="20" spans="1:19" s="79" customFormat="1" ht="16.149999999999999" customHeight="1">
      <c r="A20" s="461">
        <v>10</v>
      </c>
      <c r="B20" s="397" t="s">
        <v>921</v>
      </c>
      <c r="C20" s="80">
        <v>0</v>
      </c>
      <c r="D20" s="80">
        <v>0</v>
      </c>
      <c r="E20" s="80">
        <v>0</v>
      </c>
      <c r="F20" s="80">
        <v>0</v>
      </c>
      <c r="G20" s="80">
        <v>0</v>
      </c>
      <c r="H20" s="80">
        <v>0</v>
      </c>
      <c r="I20" s="80">
        <v>0</v>
      </c>
      <c r="J20" s="80">
        <v>0</v>
      </c>
      <c r="K20" s="80">
        <v>0</v>
      </c>
      <c r="L20" s="80">
        <v>0</v>
      </c>
      <c r="M20" s="80">
        <v>0</v>
      </c>
      <c r="N20" s="80">
        <v>0</v>
      </c>
      <c r="O20" s="80">
        <v>0</v>
      </c>
      <c r="P20" s="80">
        <v>0</v>
      </c>
      <c r="Q20" s="80">
        <v>0</v>
      </c>
      <c r="R20" s="80">
        <v>0</v>
      </c>
      <c r="S20" s="80">
        <v>0</v>
      </c>
    </row>
    <row r="21" spans="1:19" s="79" customFormat="1" ht="16.149999999999999" customHeight="1">
      <c r="A21" s="461">
        <v>11</v>
      </c>
      <c r="B21" s="397" t="s">
        <v>922</v>
      </c>
      <c r="C21" s="80">
        <v>0</v>
      </c>
      <c r="D21" s="80">
        <v>0</v>
      </c>
      <c r="E21" s="80">
        <v>0</v>
      </c>
      <c r="F21" s="80">
        <v>0</v>
      </c>
      <c r="G21" s="80">
        <v>0</v>
      </c>
      <c r="H21" s="80">
        <v>0</v>
      </c>
      <c r="I21" s="80">
        <v>0</v>
      </c>
      <c r="J21" s="80">
        <v>0</v>
      </c>
      <c r="K21" s="80">
        <v>0</v>
      </c>
      <c r="L21" s="80">
        <v>0</v>
      </c>
      <c r="M21" s="80">
        <v>0</v>
      </c>
      <c r="N21" s="80">
        <v>0</v>
      </c>
      <c r="O21" s="80">
        <v>0</v>
      </c>
      <c r="P21" s="80">
        <v>0</v>
      </c>
      <c r="Q21" s="80">
        <v>0</v>
      </c>
      <c r="R21" s="80">
        <v>0</v>
      </c>
      <c r="S21" s="80">
        <v>0</v>
      </c>
    </row>
    <row r="22" spans="1:19" s="79" customFormat="1" ht="16.149999999999999" customHeight="1">
      <c r="A22" s="461">
        <v>12</v>
      </c>
      <c r="B22" s="397" t="s">
        <v>923</v>
      </c>
      <c r="C22" s="80">
        <v>0</v>
      </c>
      <c r="D22" s="80">
        <v>0</v>
      </c>
      <c r="E22" s="80">
        <v>0</v>
      </c>
      <c r="F22" s="80">
        <v>0</v>
      </c>
      <c r="G22" s="80">
        <v>0</v>
      </c>
      <c r="H22" s="80">
        <v>0</v>
      </c>
      <c r="I22" s="80">
        <v>0</v>
      </c>
      <c r="J22" s="80">
        <v>0</v>
      </c>
      <c r="K22" s="80">
        <v>0</v>
      </c>
      <c r="L22" s="80">
        <v>0</v>
      </c>
      <c r="M22" s="80">
        <v>0</v>
      </c>
      <c r="N22" s="80">
        <v>0</v>
      </c>
      <c r="O22" s="80">
        <v>0</v>
      </c>
      <c r="P22" s="80">
        <v>0</v>
      </c>
      <c r="Q22" s="80">
        <v>0</v>
      </c>
      <c r="R22" s="80">
        <v>0</v>
      </c>
      <c r="S22" s="80">
        <v>0</v>
      </c>
    </row>
    <row r="23" spans="1:19" s="79" customFormat="1" ht="16.149999999999999" customHeight="1">
      <c r="A23" s="461">
        <v>13</v>
      </c>
      <c r="B23" s="397" t="s">
        <v>924</v>
      </c>
      <c r="C23" s="80">
        <v>0</v>
      </c>
      <c r="D23" s="80">
        <v>0</v>
      </c>
      <c r="E23" s="80">
        <v>0</v>
      </c>
      <c r="F23" s="80">
        <v>0</v>
      </c>
      <c r="G23" s="80">
        <v>0</v>
      </c>
      <c r="H23" s="80">
        <v>0</v>
      </c>
      <c r="I23" s="80">
        <v>0</v>
      </c>
      <c r="J23" s="80">
        <v>0</v>
      </c>
      <c r="K23" s="80">
        <v>0</v>
      </c>
      <c r="L23" s="80">
        <v>0</v>
      </c>
      <c r="M23" s="80">
        <v>0</v>
      </c>
      <c r="N23" s="80">
        <v>0</v>
      </c>
      <c r="O23" s="80">
        <v>0</v>
      </c>
      <c r="P23" s="80">
        <v>0</v>
      </c>
      <c r="Q23" s="80">
        <v>0</v>
      </c>
      <c r="R23" s="80">
        <v>0</v>
      </c>
      <c r="S23" s="80">
        <v>0</v>
      </c>
    </row>
    <row r="24" spans="1:19" s="79" customFormat="1" ht="16.149999999999999" customHeight="1">
      <c r="A24" s="461">
        <v>14</v>
      </c>
      <c r="B24" s="397" t="s">
        <v>925</v>
      </c>
      <c r="C24" s="80">
        <v>0</v>
      </c>
      <c r="D24" s="80">
        <v>0</v>
      </c>
      <c r="E24" s="80">
        <v>0</v>
      </c>
      <c r="F24" s="80">
        <v>0</v>
      </c>
      <c r="G24" s="80">
        <v>0</v>
      </c>
      <c r="H24" s="80">
        <v>0</v>
      </c>
      <c r="I24" s="80">
        <v>0</v>
      </c>
      <c r="J24" s="80">
        <v>0</v>
      </c>
      <c r="K24" s="80">
        <v>0</v>
      </c>
      <c r="L24" s="80">
        <v>0</v>
      </c>
      <c r="M24" s="80">
        <v>0</v>
      </c>
      <c r="N24" s="80">
        <v>0</v>
      </c>
      <c r="O24" s="80">
        <v>0</v>
      </c>
      <c r="P24" s="80">
        <v>0</v>
      </c>
      <c r="Q24" s="80">
        <v>0</v>
      </c>
      <c r="R24" s="80">
        <v>0</v>
      </c>
      <c r="S24" s="80">
        <v>0</v>
      </c>
    </row>
    <row r="25" spans="1:19" s="79" customFormat="1" ht="16.149999999999999" customHeight="1">
      <c r="A25" s="461">
        <v>15</v>
      </c>
      <c r="B25" s="397" t="s">
        <v>926</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row>
    <row r="26" spans="1:19" s="79" customFormat="1" ht="16.149999999999999" customHeight="1">
      <c r="A26" s="461">
        <v>16</v>
      </c>
      <c r="B26" s="397" t="s">
        <v>927</v>
      </c>
      <c r="C26" s="80">
        <v>0</v>
      </c>
      <c r="D26" s="80">
        <v>0</v>
      </c>
      <c r="E26" s="80">
        <v>0</v>
      </c>
      <c r="F26" s="80">
        <v>0</v>
      </c>
      <c r="G26" s="80">
        <v>0</v>
      </c>
      <c r="H26" s="80">
        <v>0</v>
      </c>
      <c r="I26" s="80">
        <v>0</v>
      </c>
      <c r="J26" s="80">
        <v>0</v>
      </c>
      <c r="K26" s="80">
        <v>0</v>
      </c>
      <c r="L26" s="80">
        <v>0</v>
      </c>
      <c r="M26" s="80">
        <v>0</v>
      </c>
      <c r="N26" s="80">
        <v>0</v>
      </c>
      <c r="O26" s="80">
        <v>0</v>
      </c>
      <c r="P26" s="80">
        <v>0</v>
      </c>
      <c r="Q26" s="80">
        <v>0</v>
      </c>
      <c r="R26" s="80">
        <v>0</v>
      </c>
      <c r="S26" s="80">
        <v>0</v>
      </c>
    </row>
    <row r="27" spans="1:19" s="79" customFormat="1" ht="16.149999999999999" customHeight="1">
      <c r="A27" s="461">
        <v>17</v>
      </c>
      <c r="B27" s="397" t="s">
        <v>928</v>
      </c>
      <c r="C27" s="80">
        <v>0</v>
      </c>
      <c r="D27" s="80">
        <v>0</v>
      </c>
      <c r="E27" s="80">
        <v>0</v>
      </c>
      <c r="F27" s="80">
        <v>0</v>
      </c>
      <c r="G27" s="80">
        <v>0</v>
      </c>
      <c r="H27" s="80">
        <v>0</v>
      </c>
      <c r="I27" s="80">
        <v>0</v>
      </c>
      <c r="J27" s="80">
        <v>0</v>
      </c>
      <c r="K27" s="80">
        <v>0</v>
      </c>
      <c r="L27" s="80">
        <v>0</v>
      </c>
      <c r="M27" s="80">
        <v>0</v>
      </c>
      <c r="N27" s="80">
        <v>0</v>
      </c>
      <c r="O27" s="80">
        <v>0</v>
      </c>
      <c r="P27" s="80">
        <v>0</v>
      </c>
      <c r="Q27" s="80">
        <v>0</v>
      </c>
      <c r="R27" s="80">
        <v>0</v>
      </c>
      <c r="S27" s="80">
        <v>0</v>
      </c>
    </row>
    <row r="28" spans="1:19" s="79" customFormat="1" ht="16.149999999999999" customHeight="1">
      <c r="A28" s="461">
        <v>18</v>
      </c>
      <c r="B28" s="398" t="s">
        <v>929</v>
      </c>
      <c r="C28" s="80">
        <v>0</v>
      </c>
      <c r="D28" s="80">
        <v>0</v>
      </c>
      <c r="E28" s="80">
        <v>0</v>
      </c>
      <c r="F28" s="80">
        <v>0</v>
      </c>
      <c r="G28" s="80">
        <v>0</v>
      </c>
      <c r="H28" s="80">
        <v>0</v>
      </c>
      <c r="I28" s="80">
        <v>0</v>
      </c>
      <c r="J28" s="80">
        <v>0</v>
      </c>
      <c r="K28" s="80">
        <v>0</v>
      </c>
      <c r="L28" s="80">
        <v>0</v>
      </c>
      <c r="M28" s="80">
        <v>0</v>
      </c>
      <c r="N28" s="80">
        <v>0</v>
      </c>
      <c r="O28" s="80">
        <v>0</v>
      </c>
      <c r="P28" s="80">
        <v>0</v>
      </c>
      <c r="Q28" s="80">
        <v>0</v>
      </c>
      <c r="R28" s="80">
        <v>0</v>
      </c>
      <c r="S28" s="80">
        <v>0</v>
      </c>
    </row>
    <row r="29" spans="1:19" s="79" customFormat="1" ht="16.149999999999999" customHeight="1">
      <c r="A29" s="461">
        <v>19</v>
      </c>
      <c r="B29" s="397" t="s">
        <v>930</v>
      </c>
      <c r="C29" s="80">
        <v>0</v>
      </c>
      <c r="D29" s="80">
        <v>0</v>
      </c>
      <c r="E29" s="80">
        <v>0</v>
      </c>
      <c r="F29" s="80">
        <v>0</v>
      </c>
      <c r="G29" s="80">
        <v>0</v>
      </c>
      <c r="H29" s="80">
        <v>0</v>
      </c>
      <c r="I29" s="80">
        <v>0</v>
      </c>
      <c r="J29" s="80">
        <v>0</v>
      </c>
      <c r="K29" s="80">
        <v>0</v>
      </c>
      <c r="L29" s="80">
        <v>0</v>
      </c>
      <c r="M29" s="80">
        <v>0</v>
      </c>
      <c r="N29" s="80">
        <v>0</v>
      </c>
      <c r="O29" s="80">
        <v>0</v>
      </c>
      <c r="P29" s="80">
        <v>0</v>
      </c>
      <c r="Q29" s="80">
        <v>0</v>
      </c>
      <c r="R29" s="80">
        <v>0</v>
      </c>
      <c r="S29" s="80">
        <v>0</v>
      </c>
    </row>
    <row r="30" spans="1:19" s="79" customFormat="1" ht="16.149999999999999" customHeight="1">
      <c r="A30" s="461">
        <v>20</v>
      </c>
      <c r="B30" s="398" t="s">
        <v>931</v>
      </c>
      <c r="C30" s="80">
        <v>0</v>
      </c>
      <c r="D30" s="80">
        <v>0</v>
      </c>
      <c r="E30" s="80">
        <v>0</v>
      </c>
      <c r="F30" s="80">
        <v>0</v>
      </c>
      <c r="G30" s="80">
        <v>0</v>
      </c>
      <c r="H30" s="80">
        <v>0</v>
      </c>
      <c r="I30" s="80">
        <v>0</v>
      </c>
      <c r="J30" s="80">
        <v>0</v>
      </c>
      <c r="K30" s="80">
        <v>0</v>
      </c>
      <c r="L30" s="80">
        <v>0</v>
      </c>
      <c r="M30" s="80">
        <v>0</v>
      </c>
      <c r="N30" s="80">
        <v>0</v>
      </c>
      <c r="O30" s="80">
        <v>0</v>
      </c>
      <c r="P30" s="80">
        <v>0</v>
      </c>
      <c r="Q30" s="80">
        <v>0</v>
      </c>
      <c r="R30" s="80">
        <v>0</v>
      </c>
      <c r="S30" s="80">
        <v>0</v>
      </c>
    </row>
    <row r="31" spans="1:19" s="79" customFormat="1" ht="16.149999999999999" customHeight="1">
      <c r="A31" s="461">
        <v>21</v>
      </c>
      <c r="B31" s="397" t="s">
        <v>932</v>
      </c>
      <c r="C31" s="80">
        <v>0</v>
      </c>
      <c r="D31" s="80">
        <v>0</v>
      </c>
      <c r="E31" s="80">
        <v>0</v>
      </c>
      <c r="F31" s="80">
        <v>0</v>
      </c>
      <c r="G31" s="80">
        <v>0</v>
      </c>
      <c r="H31" s="80">
        <v>0</v>
      </c>
      <c r="I31" s="80">
        <v>0</v>
      </c>
      <c r="J31" s="80">
        <v>0</v>
      </c>
      <c r="K31" s="80">
        <v>0</v>
      </c>
      <c r="L31" s="80">
        <v>0</v>
      </c>
      <c r="M31" s="80">
        <v>0</v>
      </c>
      <c r="N31" s="80">
        <v>0</v>
      </c>
      <c r="O31" s="80">
        <v>0</v>
      </c>
      <c r="P31" s="80">
        <v>0</v>
      </c>
      <c r="Q31" s="80">
        <v>0</v>
      </c>
      <c r="R31" s="80">
        <v>0</v>
      </c>
      <c r="S31" s="80">
        <v>0</v>
      </c>
    </row>
    <row r="32" spans="1:19" s="79" customFormat="1" ht="16.149999999999999" customHeight="1">
      <c r="A32" s="461">
        <v>22</v>
      </c>
      <c r="B32" s="397" t="s">
        <v>933</v>
      </c>
      <c r="C32" s="80">
        <v>0</v>
      </c>
      <c r="D32" s="80">
        <v>0</v>
      </c>
      <c r="E32" s="80">
        <v>0</v>
      </c>
      <c r="F32" s="80">
        <v>0</v>
      </c>
      <c r="G32" s="80">
        <v>0</v>
      </c>
      <c r="H32" s="80">
        <v>0</v>
      </c>
      <c r="I32" s="80">
        <v>0</v>
      </c>
      <c r="J32" s="80">
        <v>0</v>
      </c>
      <c r="K32" s="80">
        <v>0</v>
      </c>
      <c r="L32" s="80">
        <v>0</v>
      </c>
      <c r="M32" s="80">
        <v>0</v>
      </c>
      <c r="N32" s="80">
        <v>0</v>
      </c>
      <c r="O32" s="80">
        <v>0</v>
      </c>
      <c r="P32" s="80">
        <v>0</v>
      </c>
      <c r="Q32" s="80">
        <v>0</v>
      </c>
      <c r="R32" s="80">
        <v>0</v>
      </c>
      <c r="S32" s="80">
        <v>0</v>
      </c>
    </row>
    <row r="33" spans="1:42" s="79" customFormat="1" ht="16.149999999999999" customHeight="1">
      <c r="A33" s="461">
        <v>23</v>
      </c>
      <c r="B33" s="397" t="s">
        <v>934</v>
      </c>
      <c r="C33" s="80">
        <v>0</v>
      </c>
      <c r="D33" s="80">
        <v>0</v>
      </c>
      <c r="E33" s="80">
        <v>0</v>
      </c>
      <c r="F33" s="80">
        <v>0</v>
      </c>
      <c r="G33" s="80">
        <v>0</v>
      </c>
      <c r="H33" s="80">
        <v>0</v>
      </c>
      <c r="I33" s="80">
        <v>0</v>
      </c>
      <c r="J33" s="80">
        <v>0</v>
      </c>
      <c r="K33" s="80">
        <v>0</v>
      </c>
      <c r="L33" s="80">
        <v>0</v>
      </c>
      <c r="M33" s="80">
        <v>0</v>
      </c>
      <c r="N33" s="80">
        <v>0</v>
      </c>
      <c r="O33" s="80">
        <v>0</v>
      </c>
      <c r="P33" s="80">
        <v>0</v>
      </c>
      <c r="Q33" s="80">
        <v>0</v>
      </c>
      <c r="R33" s="80">
        <v>0</v>
      </c>
      <c r="S33" s="80">
        <v>0</v>
      </c>
    </row>
    <row r="34" spans="1:42" s="79" customFormat="1" ht="16.149999999999999" customHeight="1">
      <c r="A34" s="461">
        <v>24</v>
      </c>
      <c r="B34" s="397" t="s">
        <v>935</v>
      </c>
      <c r="C34" s="80">
        <v>0</v>
      </c>
      <c r="D34" s="80">
        <v>0</v>
      </c>
      <c r="E34" s="80">
        <v>0</v>
      </c>
      <c r="F34" s="80">
        <v>0</v>
      </c>
      <c r="G34" s="80">
        <v>0</v>
      </c>
      <c r="H34" s="80">
        <v>0</v>
      </c>
      <c r="I34" s="80">
        <v>0</v>
      </c>
      <c r="J34" s="80">
        <v>0</v>
      </c>
      <c r="K34" s="80">
        <v>0</v>
      </c>
      <c r="L34" s="80">
        <v>0</v>
      </c>
      <c r="M34" s="80">
        <v>0</v>
      </c>
      <c r="N34" s="80">
        <v>0</v>
      </c>
      <c r="O34" s="80">
        <v>0</v>
      </c>
      <c r="P34" s="80">
        <v>0</v>
      </c>
      <c r="Q34" s="80">
        <v>0</v>
      </c>
      <c r="R34" s="80">
        <v>0</v>
      </c>
      <c r="S34" s="80">
        <v>0</v>
      </c>
    </row>
    <row r="35" spans="1:42" s="79" customFormat="1" ht="16.149999999999999" customHeight="1">
      <c r="A35" s="461">
        <v>25</v>
      </c>
      <c r="B35" s="397" t="s">
        <v>936</v>
      </c>
      <c r="C35" s="80">
        <v>0</v>
      </c>
      <c r="D35" s="80">
        <v>0</v>
      </c>
      <c r="E35" s="80">
        <v>0</v>
      </c>
      <c r="F35" s="80">
        <v>0</v>
      </c>
      <c r="G35" s="80">
        <v>0</v>
      </c>
      <c r="H35" s="80">
        <v>0</v>
      </c>
      <c r="I35" s="80">
        <v>0</v>
      </c>
      <c r="J35" s="80">
        <v>0</v>
      </c>
      <c r="K35" s="80">
        <v>0</v>
      </c>
      <c r="L35" s="80">
        <v>0</v>
      </c>
      <c r="M35" s="80">
        <v>0</v>
      </c>
      <c r="N35" s="80">
        <v>0</v>
      </c>
      <c r="O35" s="80">
        <v>0</v>
      </c>
      <c r="P35" s="80">
        <v>0</v>
      </c>
      <c r="Q35" s="80">
        <v>0</v>
      </c>
      <c r="R35" s="80">
        <v>0</v>
      </c>
      <c r="S35" s="80">
        <v>0</v>
      </c>
    </row>
    <row r="36" spans="1:42">
      <c r="A36" s="461">
        <v>26</v>
      </c>
      <c r="B36" s="397" t="s">
        <v>937</v>
      </c>
      <c r="C36" s="80">
        <v>0</v>
      </c>
      <c r="D36" s="80">
        <v>0</v>
      </c>
      <c r="E36" s="80">
        <v>0</v>
      </c>
      <c r="F36" s="80">
        <v>0</v>
      </c>
      <c r="G36" s="80">
        <v>0</v>
      </c>
      <c r="H36" s="80">
        <v>0</v>
      </c>
      <c r="I36" s="80">
        <v>0</v>
      </c>
      <c r="J36" s="80">
        <v>0</v>
      </c>
      <c r="K36" s="80">
        <v>0</v>
      </c>
      <c r="L36" s="80">
        <v>0</v>
      </c>
      <c r="M36" s="80">
        <v>0</v>
      </c>
      <c r="N36" s="80">
        <v>0</v>
      </c>
      <c r="O36" s="80">
        <v>0</v>
      </c>
      <c r="P36" s="80">
        <v>0</v>
      </c>
      <c r="Q36" s="80">
        <v>0</v>
      </c>
      <c r="R36" s="80">
        <v>0</v>
      </c>
      <c r="S36" s="80">
        <v>0</v>
      </c>
    </row>
    <row r="37" spans="1:42">
      <c r="A37" s="461">
        <v>27</v>
      </c>
      <c r="B37" s="397" t="s">
        <v>938</v>
      </c>
      <c r="C37" s="80">
        <v>0</v>
      </c>
      <c r="D37" s="80">
        <v>0</v>
      </c>
      <c r="E37" s="80">
        <v>0</v>
      </c>
      <c r="F37" s="80">
        <v>0</v>
      </c>
      <c r="G37" s="80">
        <v>0</v>
      </c>
      <c r="H37" s="80">
        <v>0</v>
      </c>
      <c r="I37" s="80">
        <v>0</v>
      </c>
      <c r="J37" s="80">
        <v>0</v>
      </c>
      <c r="K37" s="80">
        <v>0</v>
      </c>
      <c r="L37" s="80">
        <v>0</v>
      </c>
      <c r="M37" s="80">
        <v>0</v>
      </c>
      <c r="N37" s="80">
        <v>0</v>
      </c>
      <c r="O37" s="80">
        <v>0</v>
      </c>
      <c r="P37" s="80">
        <v>0</v>
      </c>
      <c r="Q37" s="80">
        <v>0</v>
      </c>
      <c r="R37" s="80">
        <v>0</v>
      </c>
      <c r="S37" s="80">
        <v>0</v>
      </c>
    </row>
    <row r="38" spans="1:42">
      <c r="A38" s="461">
        <v>28</v>
      </c>
      <c r="B38" s="397" t="s">
        <v>939</v>
      </c>
      <c r="C38" s="80">
        <v>0</v>
      </c>
      <c r="D38" s="80">
        <v>0</v>
      </c>
      <c r="E38" s="80">
        <v>0</v>
      </c>
      <c r="F38" s="80">
        <v>0</v>
      </c>
      <c r="G38" s="80">
        <v>0</v>
      </c>
      <c r="H38" s="80">
        <v>0</v>
      </c>
      <c r="I38" s="80">
        <v>0</v>
      </c>
      <c r="J38" s="80">
        <v>0</v>
      </c>
      <c r="K38" s="80">
        <v>0</v>
      </c>
      <c r="L38" s="80">
        <v>0</v>
      </c>
      <c r="M38" s="80">
        <v>0</v>
      </c>
      <c r="N38" s="80">
        <v>0</v>
      </c>
      <c r="O38" s="80">
        <v>0</v>
      </c>
      <c r="P38" s="80">
        <v>0</v>
      </c>
      <c r="Q38" s="80">
        <v>0</v>
      </c>
      <c r="R38" s="80">
        <v>0</v>
      </c>
      <c r="S38" s="80">
        <v>0</v>
      </c>
    </row>
    <row r="39" spans="1:42">
      <c r="A39" s="461">
        <v>29</v>
      </c>
      <c r="B39" s="397" t="s">
        <v>940</v>
      </c>
      <c r="C39" s="80">
        <v>0</v>
      </c>
      <c r="D39" s="80">
        <v>0</v>
      </c>
      <c r="E39" s="80">
        <v>0</v>
      </c>
      <c r="F39" s="80">
        <v>0</v>
      </c>
      <c r="G39" s="80">
        <v>0</v>
      </c>
      <c r="H39" s="80">
        <v>0</v>
      </c>
      <c r="I39" s="80">
        <v>0</v>
      </c>
      <c r="J39" s="80">
        <v>0</v>
      </c>
      <c r="K39" s="80">
        <v>0</v>
      </c>
      <c r="L39" s="80">
        <v>0</v>
      </c>
      <c r="M39" s="80">
        <v>0</v>
      </c>
      <c r="N39" s="80">
        <v>0</v>
      </c>
      <c r="O39" s="80">
        <v>0</v>
      </c>
      <c r="P39" s="80">
        <v>0</v>
      </c>
      <c r="Q39" s="80">
        <v>0</v>
      </c>
      <c r="R39" s="80">
        <v>0</v>
      </c>
      <c r="S39" s="80">
        <v>0</v>
      </c>
    </row>
    <row r="40" spans="1:42" s="80" customFormat="1">
      <c r="A40" s="461">
        <v>30</v>
      </c>
      <c r="B40" s="397" t="s">
        <v>941</v>
      </c>
      <c r="C40" s="80">
        <v>0</v>
      </c>
      <c r="D40" s="80">
        <v>0</v>
      </c>
      <c r="E40" s="80">
        <v>0</v>
      </c>
      <c r="F40" s="80">
        <v>0</v>
      </c>
      <c r="G40" s="80">
        <v>0</v>
      </c>
      <c r="H40" s="80">
        <v>0</v>
      </c>
      <c r="I40" s="80">
        <v>0</v>
      </c>
      <c r="J40" s="80">
        <v>0</v>
      </c>
      <c r="K40" s="80">
        <v>0</v>
      </c>
      <c r="L40" s="80">
        <v>0</v>
      </c>
      <c r="M40" s="80">
        <v>0</v>
      </c>
      <c r="N40" s="80">
        <v>0</v>
      </c>
      <c r="O40" s="80">
        <v>0</v>
      </c>
      <c r="P40" s="80">
        <v>0</v>
      </c>
      <c r="Q40" s="80">
        <v>0</v>
      </c>
      <c r="R40" s="80">
        <v>0</v>
      </c>
      <c r="S40" s="80">
        <v>0</v>
      </c>
      <c r="T40" s="81"/>
      <c r="U40" s="81"/>
      <c r="V40" s="81"/>
      <c r="W40" s="81"/>
      <c r="X40" s="81"/>
      <c r="Y40" s="81"/>
      <c r="Z40" s="81"/>
      <c r="AA40" s="81"/>
      <c r="AB40" s="81"/>
      <c r="AC40" s="81"/>
      <c r="AD40" s="81"/>
      <c r="AE40" s="81"/>
      <c r="AF40" s="81"/>
      <c r="AG40" s="81"/>
      <c r="AH40" s="81"/>
      <c r="AI40" s="81"/>
      <c r="AJ40" s="81"/>
      <c r="AK40" s="81"/>
      <c r="AL40" s="81"/>
      <c r="AM40" s="81"/>
      <c r="AN40" s="81"/>
      <c r="AO40" s="81"/>
      <c r="AP40" s="81"/>
    </row>
    <row r="41" spans="1:42">
      <c r="A41" s="461">
        <v>31</v>
      </c>
      <c r="B41" s="397" t="s">
        <v>942</v>
      </c>
      <c r="C41" s="80">
        <v>0</v>
      </c>
      <c r="D41" s="80">
        <v>0</v>
      </c>
      <c r="E41" s="80">
        <v>0</v>
      </c>
      <c r="F41" s="80">
        <v>0</v>
      </c>
      <c r="G41" s="80">
        <v>0</v>
      </c>
      <c r="H41" s="80">
        <v>0</v>
      </c>
      <c r="I41" s="80">
        <v>0</v>
      </c>
      <c r="J41" s="80">
        <v>0</v>
      </c>
      <c r="K41" s="80">
        <v>0</v>
      </c>
      <c r="L41" s="80">
        <v>0</v>
      </c>
      <c r="M41" s="80">
        <v>0</v>
      </c>
      <c r="N41" s="80">
        <v>0</v>
      </c>
      <c r="O41" s="80">
        <v>0</v>
      </c>
      <c r="P41" s="80">
        <v>0</v>
      </c>
      <c r="Q41" s="80">
        <v>0</v>
      </c>
      <c r="R41" s="80">
        <v>0</v>
      </c>
      <c r="S41" s="80">
        <v>0</v>
      </c>
    </row>
    <row r="42" spans="1:42">
      <c r="A42" s="461">
        <v>32</v>
      </c>
      <c r="B42" s="397" t="s">
        <v>943</v>
      </c>
      <c r="C42" s="80">
        <v>0</v>
      </c>
      <c r="D42" s="80">
        <v>0</v>
      </c>
      <c r="E42" s="80">
        <v>0</v>
      </c>
      <c r="F42" s="80">
        <v>0</v>
      </c>
      <c r="G42" s="80">
        <v>0</v>
      </c>
      <c r="H42" s="80">
        <v>0</v>
      </c>
      <c r="I42" s="80">
        <v>0</v>
      </c>
      <c r="J42" s="80">
        <v>0</v>
      </c>
      <c r="K42" s="80">
        <v>0</v>
      </c>
      <c r="L42" s="80">
        <v>0</v>
      </c>
      <c r="M42" s="80">
        <v>0</v>
      </c>
      <c r="N42" s="80">
        <v>0</v>
      </c>
      <c r="O42" s="80">
        <v>0</v>
      </c>
      <c r="P42" s="80">
        <v>0</v>
      </c>
      <c r="Q42" s="80">
        <v>0</v>
      </c>
      <c r="R42" s="80">
        <v>0</v>
      </c>
      <c r="S42" s="80">
        <v>0</v>
      </c>
    </row>
    <row r="43" spans="1:42">
      <c r="A43" s="461">
        <v>33</v>
      </c>
      <c r="B43" s="397" t="s">
        <v>944</v>
      </c>
      <c r="C43" s="80">
        <v>0</v>
      </c>
      <c r="D43" s="80">
        <v>0</v>
      </c>
      <c r="E43" s="80">
        <v>0</v>
      </c>
      <c r="F43" s="80">
        <v>0</v>
      </c>
      <c r="G43" s="80">
        <v>0</v>
      </c>
      <c r="H43" s="80">
        <v>0</v>
      </c>
      <c r="I43" s="80">
        <v>0</v>
      </c>
      <c r="J43" s="80">
        <v>0</v>
      </c>
      <c r="K43" s="80">
        <v>0</v>
      </c>
      <c r="L43" s="80">
        <v>0</v>
      </c>
      <c r="M43" s="80">
        <v>0</v>
      </c>
      <c r="N43" s="80">
        <v>0</v>
      </c>
      <c r="O43" s="80">
        <v>0</v>
      </c>
      <c r="P43" s="80">
        <v>0</v>
      </c>
      <c r="Q43" s="80">
        <v>0</v>
      </c>
      <c r="R43" s="80">
        <v>0</v>
      </c>
      <c r="S43" s="80">
        <v>0</v>
      </c>
    </row>
    <row r="44" spans="1:42">
      <c r="A44" s="461">
        <v>34</v>
      </c>
      <c r="B44" s="397" t="s">
        <v>945</v>
      </c>
      <c r="C44" s="80">
        <v>0</v>
      </c>
      <c r="D44" s="80">
        <v>0</v>
      </c>
      <c r="E44" s="80">
        <v>0</v>
      </c>
      <c r="F44" s="80">
        <v>0</v>
      </c>
      <c r="G44" s="80">
        <v>0</v>
      </c>
      <c r="H44" s="80">
        <v>0</v>
      </c>
      <c r="I44" s="80">
        <v>0</v>
      </c>
      <c r="J44" s="80">
        <v>0</v>
      </c>
      <c r="K44" s="80">
        <v>0</v>
      </c>
      <c r="L44" s="80">
        <v>0</v>
      </c>
      <c r="M44" s="80">
        <v>0</v>
      </c>
      <c r="N44" s="80">
        <v>0</v>
      </c>
      <c r="O44" s="80">
        <v>0</v>
      </c>
      <c r="P44" s="80">
        <v>0</v>
      </c>
      <c r="Q44" s="80">
        <v>0</v>
      </c>
      <c r="R44" s="80">
        <v>0</v>
      </c>
      <c r="S44" s="80">
        <v>0</v>
      </c>
    </row>
    <row r="45" spans="1:42">
      <c r="A45" s="282" t="s">
        <v>17</v>
      </c>
      <c r="B45" s="80"/>
      <c r="C45" s="80">
        <v>0</v>
      </c>
      <c r="D45" s="80">
        <v>0</v>
      </c>
      <c r="E45" s="80">
        <v>0</v>
      </c>
      <c r="F45" s="80">
        <v>0</v>
      </c>
      <c r="G45" s="80">
        <v>0</v>
      </c>
      <c r="H45" s="80">
        <v>0</v>
      </c>
      <c r="I45" s="80">
        <v>0</v>
      </c>
      <c r="J45" s="80">
        <v>0</v>
      </c>
      <c r="K45" s="80">
        <v>0</v>
      </c>
      <c r="L45" s="80">
        <v>0</v>
      </c>
      <c r="M45" s="80">
        <v>0</v>
      </c>
      <c r="N45" s="80">
        <v>0</v>
      </c>
      <c r="O45" s="80">
        <v>0</v>
      </c>
      <c r="P45" s="80">
        <v>0</v>
      </c>
      <c r="Q45" s="80">
        <v>0</v>
      </c>
      <c r="R45" s="80">
        <v>0</v>
      </c>
      <c r="S45" s="80">
        <v>0</v>
      </c>
    </row>
    <row r="46" spans="1:42">
      <c r="A46" s="284" t="s">
        <v>490</v>
      </c>
      <c r="B46" s="81"/>
      <c r="C46" s="81"/>
      <c r="D46" s="81"/>
      <c r="E46" s="81"/>
      <c r="F46" s="81"/>
      <c r="G46" s="81"/>
      <c r="H46" s="81"/>
      <c r="I46" s="81"/>
      <c r="J46" s="81"/>
      <c r="K46" s="81"/>
      <c r="L46" s="81"/>
      <c r="M46" s="81"/>
      <c r="N46" s="81"/>
      <c r="O46" s="81"/>
      <c r="P46" s="81"/>
      <c r="Q46" s="81"/>
      <c r="R46" s="81"/>
      <c r="S46" s="81"/>
    </row>
    <row r="47" spans="1:42" s="15" customFormat="1" ht="12.75" customHeight="1"/>
    <row r="48" spans="1:42" s="15" customFormat="1" ht="12.75" customHeight="1"/>
    <row r="49" spans="1:21" s="774" customFormat="1" ht="12.75" customHeight="1">
      <c r="A49" s="74"/>
      <c r="B49" s="74"/>
      <c r="C49" s="74"/>
      <c r="D49" s="803" t="s">
        <v>906</v>
      </c>
      <c r="E49" s="803"/>
      <c r="F49" s="803"/>
      <c r="J49" s="14"/>
      <c r="K49" s="14"/>
      <c r="N49" s="804" t="s">
        <v>12</v>
      </c>
      <c r="O49" s="804"/>
      <c r="P49" s="804"/>
      <c r="Q49" s="804"/>
      <c r="R49" s="804"/>
      <c r="S49" s="74"/>
      <c r="T49" s="367"/>
      <c r="U49" s="367"/>
    </row>
    <row r="50" spans="1:21" s="774" customFormat="1" ht="12.75">
      <c r="A50" s="803"/>
      <c r="B50" s="803"/>
      <c r="C50" s="803"/>
      <c r="D50" s="804" t="s">
        <v>907</v>
      </c>
      <c r="E50" s="804"/>
      <c r="F50" s="804"/>
      <c r="M50" s="14"/>
      <c r="N50" s="803" t="s">
        <v>13</v>
      </c>
      <c r="O50" s="803"/>
      <c r="P50" s="803"/>
      <c r="Q50" s="803"/>
      <c r="R50" s="803"/>
      <c r="S50" s="33"/>
      <c r="T50" s="33"/>
      <c r="U50" s="33"/>
    </row>
    <row r="51" spans="1:21" ht="15" customHeight="1">
      <c r="A51" s="804"/>
      <c r="B51" s="804"/>
      <c r="C51" s="804"/>
      <c r="D51" s="804" t="s">
        <v>908</v>
      </c>
      <c r="E51" s="804"/>
      <c r="F51" s="804"/>
      <c r="G51" s="774"/>
      <c r="H51" s="774"/>
      <c r="I51" s="774"/>
      <c r="J51" s="774"/>
      <c r="K51" s="774"/>
      <c r="L51" s="774"/>
      <c r="N51" s="803" t="s">
        <v>87</v>
      </c>
      <c r="O51" s="803"/>
      <c r="P51" s="803"/>
      <c r="Q51" s="803"/>
      <c r="R51" s="803"/>
      <c r="S51" s="33"/>
      <c r="T51" s="33"/>
      <c r="U51" s="33"/>
    </row>
    <row r="52" spans="1:21">
      <c r="A52" s="804"/>
      <c r="B52" s="804"/>
      <c r="C52" s="804"/>
      <c r="D52" s="278"/>
      <c r="E52" s="14"/>
      <c r="F52" s="774"/>
      <c r="G52" s="774"/>
      <c r="H52" s="774"/>
      <c r="I52" s="774"/>
      <c r="J52" s="774"/>
      <c r="K52" s="774"/>
      <c r="L52" s="774"/>
      <c r="M52" s="774"/>
      <c r="N52" s="14"/>
      <c r="O52" s="14"/>
      <c r="P52" s="14"/>
      <c r="Q52" s="33" t="s">
        <v>84</v>
      </c>
      <c r="R52" s="33"/>
      <c r="S52" s="33"/>
      <c r="T52" s="33"/>
      <c r="U52" s="33"/>
    </row>
    <row r="53" spans="1:21">
      <c r="A53" s="278" t="s">
        <v>11</v>
      </c>
      <c r="B53" s="14"/>
      <c r="C53" s="464"/>
      <c r="D53" s="464"/>
      <c r="E53" s="464"/>
      <c r="F53" s="464"/>
      <c r="G53" s="464"/>
      <c r="H53" s="464"/>
      <c r="I53" s="464"/>
      <c r="J53" s="464"/>
      <c r="K53" s="14"/>
      <c r="L53" s="14"/>
      <c r="M53" s="14"/>
      <c r="N53" s="14"/>
      <c r="O53" s="14"/>
      <c r="P53" s="14"/>
      <c r="Q53" s="803"/>
      <c r="R53" s="803"/>
      <c r="S53" s="803"/>
    </row>
  </sheetData>
  <mergeCells count="20">
    <mergeCell ref="D49:F49"/>
    <mergeCell ref="N49:R49"/>
    <mergeCell ref="D50:F50"/>
    <mergeCell ref="A8:A9"/>
    <mergeCell ref="B8:B9"/>
    <mergeCell ref="C8:F8"/>
    <mergeCell ref="G8:J8"/>
    <mergeCell ref="K8:N8"/>
    <mergeCell ref="N50:R50"/>
    <mergeCell ref="Q1:R1"/>
    <mergeCell ref="B4:S4"/>
    <mergeCell ref="G2:M2"/>
    <mergeCell ref="S8:S9"/>
    <mergeCell ref="O8:R8"/>
    <mergeCell ref="D51:F51"/>
    <mergeCell ref="N51:R51"/>
    <mergeCell ref="A50:C50"/>
    <mergeCell ref="Q53:S53"/>
    <mergeCell ref="A51:C51"/>
    <mergeCell ref="A52:C52"/>
  </mergeCells>
  <phoneticPr fontId="0" type="noConversion"/>
  <printOptions horizontalCentered="1"/>
  <pageMargins left="0.70866141732283472" right="0.70866141732283472" top="0.23622047244094491" bottom="0" header="0.31496062992125984" footer="0.31496062992125984"/>
  <pageSetup paperSize="9" scale="58" orientation="landscape" r:id="rId1"/>
</worksheet>
</file>

<file path=xl/worksheets/sheet66.xml><?xml version="1.0" encoding="utf-8"?>
<worksheet xmlns="http://schemas.openxmlformats.org/spreadsheetml/2006/main" xmlns:r="http://schemas.openxmlformats.org/officeDocument/2006/relationships">
  <sheetPr codeName="Sheet66">
    <pageSetUpPr fitToPage="1"/>
  </sheetPr>
  <dimension ref="A1:AA53"/>
  <sheetViews>
    <sheetView view="pageBreakPreview" topLeftCell="A22" zoomScaleSheetLayoutView="100" workbookViewId="0">
      <selection activeCell="C29" sqref="C29"/>
    </sheetView>
  </sheetViews>
  <sheetFormatPr defaultRowHeight="15"/>
  <cols>
    <col min="1" max="1" width="9.140625" style="74"/>
    <col min="2" max="2" width="25.140625" style="74" customWidth="1"/>
    <col min="3" max="3" width="17.5703125" style="74" customWidth="1"/>
    <col min="4" max="4" width="19.7109375" style="74" customWidth="1"/>
    <col min="5" max="5" width="18.140625" style="74" customWidth="1"/>
    <col min="6" max="6" width="15.42578125" style="74" customWidth="1"/>
    <col min="7" max="7" width="15.7109375" style="74" customWidth="1"/>
    <col min="8" max="16384" width="9.140625" style="74"/>
  </cols>
  <sheetData>
    <row r="1" spans="1:8" s="15" customFormat="1">
      <c r="C1" s="42"/>
      <c r="D1" s="42"/>
      <c r="E1" s="42"/>
      <c r="F1" s="962" t="s">
        <v>700</v>
      </c>
      <c r="G1" s="962"/>
    </row>
    <row r="2" spans="1:8" s="15" customFormat="1" ht="30.75" customHeight="1">
      <c r="B2" s="848" t="s">
        <v>745</v>
      </c>
      <c r="C2" s="848"/>
      <c r="D2" s="848"/>
      <c r="E2" s="848"/>
      <c r="F2" s="848"/>
      <c r="G2" s="41"/>
    </row>
    <row r="3" spans="1:8" s="15" customFormat="1" ht="20.25">
      <c r="G3" s="127"/>
    </row>
    <row r="4" spans="1:8" ht="18">
      <c r="B4" s="1165" t="s">
        <v>703</v>
      </c>
      <c r="C4" s="1165"/>
      <c r="D4" s="1165"/>
      <c r="E4" s="1165"/>
      <c r="F4" s="1165"/>
      <c r="G4" s="1165"/>
    </row>
    <row r="5" spans="1:8" ht="15.75">
      <c r="C5" s="75"/>
      <c r="D5" s="76"/>
      <c r="E5" s="75"/>
      <c r="F5" s="75"/>
      <c r="G5" s="75"/>
    </row>
    <row r="6" spans="1:8">
      <c r="A6" s="85" t="s">
        <v>985</v>
      </c>
    </row>
    <row r="7" spans="1:8">
      <c r="B7" s="317"/>
    </row>
    <row r="8" spans="1:8" s="79" customFormat="1" ht="30.75" customHeight="1">
      <c r="A8" s="1132" t="s">
        <v>2</v>
      </c>
      <c r="B8" s="1171" t="s">
        <v>3</v>
      </c>
      <c r="C8" s="1171" t="s">
        <v>846</v>
      </c>
      <c r="D8" s="1172" t="s">
        <v>847</v>
      </c>
      <c r="E8" s="1171" t="s">
        <v>699</v>
      </c>
      <c r="F8" s="1171"/>
      <c r="G8" s="1171"/>
    </row>
    <row r="9" spans="1:8" s="79" customFormat="1" ht="48.75" customHeight="1">
      <c r="A9" s="1132"/>
      <c r="B9" s="1171"/>
      <c r="C9" s="1171"/>
      <c r="D9" s="1173"/>
      <c r="E9" s="319" t="s">
        <v>704</v>
      </c>
      <c r="F9" s="319" t="s">
        <v>698</v>
      </c>
      <c r="G9" s="319" t="s">
        <v>17</v>
      </c>
    </row>
    <row r="10" spans="1:8" s="79" customFormat="1" ht="16.149999999999999" customHeight="1">
      <c r="A10" s="65">
        <v>1</v>
      </c>
      <c r="B10" s="331">
        <v>2</v>
      </c>
      <c r="C10" s="331">
        <v>3</v>
      </c>
      <c r="D10" s="331">
        <v>4</v>
      </c>
      <c r="E10" s="333">
        <v>5</v>
      </c>
      <c r="F10" s="333">
        <v>6</v>
      </c>
      <c r="G10" s="333">
        <v>7</v>
      </c>
    </row>
    <row r="11" spans="1:8" s="79" customFormat="1" ht="16.149999999999999" customHeight="1">
      <c r="A11" s="522">
        <v>1</v>
      </c>
      <c r="B11" s="480" t="s">
        <v>912</v>
      </c>
      <c r="C11" s="523">
        <v>25</v>
      </c>
      <c r="D11" s="752">
        <v>0</v>
      </c>
      <c r="E11" s="752">
        <f>G11*60%</f>
        <v>0</v>
      </c>
      <c r="F11" s="752">
        <f>G11-E11</f>
        <v>0</v>
      </c>
      <c r="G11" s="752">
        <f>D11*10000/100000</f>
        <v>0</v>
      </c>
      <c r="H11" s="751"/>
    </row>
    <row r="12" spans="1:8" s="79" customFormat="1" ht="16.149999999999999" customHeight="1">
      <c r="A12" s="522">
        <v>2</v>
      </c>
      <c r="B12" s="480" t="s">
        <v>913</v>
      </c>
      <c r="C12" s="523">
        <v>25</v>
      </c>
      <c r="D12" s="752">
        <v>0</v>
      </c>
      <c r="E12" s="752">
        <f t="shared" ref="E12:E44" si="0">G12*60%</f>
        <v>0</v>
      </c>
      <c r="F12" s="752">
        <f t="shared" ref="F12:F44" si="1">G12-E12</f>
        <v>0</v>
      </c>
      <c r="G12" s="752">
        <f t="shared" ref="G12:G44" si="2">D12*10000/100000</f>
        <v>0</v>
      </c>
      <c r="H12" s="751"/>
    </row>
    <row r="13" spans="1:8" s="79" customFormat="1" ht="16.149999999999999" customHeight="1">
      <c r="A13" s="522">
        <v>3</v>
      </c>
      <c r="B13" s="480" t="s">
        <v>914</v>
      </c>
      <c r="C13" s="523">
        <v>747</v>
      </c>
      <c r="D13" s="752">
        <v>16</v>
      </c>
      <c r="E13" s="752">
        <f t="shared" si="0"/>
        <v>0.96</v>
      </c>
      <c r="F13" s="752">
        <f t="shared" si="1"/>
        <v>0.64000000000000012</v>
      </c>
      <c r="G13" s="752">
        <f t="shared" si="2"/>
        <v>1.6</v>
      </c>
      <c r="H13" s="751"/>
    </row>
    <row r="14" spans="1:8" s="79" customFormat="1" ht="16.149999999999999" customHeight="1">
      <c r="A14" s="522">
        <v>4</v>
      </c>
      <c r="B14" s="480" t="s">
        <v>915</v>
      </c>
      <c r="C14" s="523">
        <v>779</v>
      </c>
      <c r="D14" s="752">
        <v>343</v>
      </c>
      <c r="E14" s="752">
        <f t="shared" si="0"/>
        <v>20.58</v>
      </c>
      <c r="F14" s="752">
        <f t="shared" si="1"/>
        <v>13.719999999999999</v>
      </c>
      <c r="G14" s="752">
        <f t="shared" si="2"/>
        <v>34.299999999999997</v>
      </c>
      <c r="H14" s="751"/>
    </row>
    <row r="15" spans="1:8" s="79" customFormat="1" ht="16.149999999999999" customHeight="1">
      <c r="A15" s="522">
        <v>5</v>
      </c>
      <c r="B15" s="480" t="s">
        <v>916</v>
      </c>
      <c r="C15" s="523">
        <v>2036</v>
      </c>
      <c r="D15" s="752">
        <v>814</v>
      </c>
      <c r="E15" s="752">
        <f t="shared" si="0"/>
        <v>48.84</v>
      </c>
      <c r="F15" s="752">
        <f t="shared" si="1"/>
        <v>32.56</v>
      </c>
      <c r="G15" s="752">
        <f t="shared" si="2"/>
        <v>81.400000000000006</v>
      </c>
      <c r="H15" s="751"/>
    </row>
    <row r="16" spans="1:8" s="79" customFormat="1" ht="16.149999999999999" customHeight="1">
      <c r="A16" s="522">
        <v>6</v>
      </c>
      <c r="B16" s="480" t="s">
        <v>917</v>
      </c>
      <c r="C16" s="523">
        <v>781</v>
      </c>
      <c r="D16" s="752">
        <v>631</v>
      </c>
      <c r="E16" s="752">
        <f t="shared" si="0"/>
        <v>37.86</v>
      </c>
      <c r="F16" s="752">
        <f t="shared" si="1"/>
        <v>25.240000000000002</v>
      </c>
      <c r="G16" s="752">
        <f t="shared" si="2"/>
        <v>63.1</v>
      </c>
      <c r="H16" s="751"/>
    </row>
    <row r="17" spans="1:8" s="79" customFormat="1" ht="16.149999999999999" customHeight="1">
      <c r="A17" s="522">
        <v>7</v>
      </c>
      <c r="B17" s="480" t="s">
        <v>918</v>
      </c>
      <c r="C17" s="523">
        <v>625</v>
      </c>
      <c r="D17" s="752">
        <v>108</v>
      </c>
      <c r="E17" s="752">
        <f t="shared" si="0"/>
        <v>6.48</v>
      </c>
      <c r="F17" s="752">
        <f t="shared" si="1"/>
        <v>4.32</v>
      </c>
      <c r="G17" s="752">
        <f t="shared" si="2"/>
        <v>10.8</v>
      </c>
      <c r="H17" s="751"/>
    </row>
    <row r="18" spans="1:8" s="79" customFormat="1" ht="16.149999999999999" customHeight="1">
      <c r="A18" s="522">
        <v>8</v>
      </c>
      <c r="B18" s="480" t="s">
        <v>919</v>
      </c>
      <c r="C18" s="523">
        <v>2066</v>
      </c>
      <c r="D18" s="752">
        <v>702</v>
      </c>
      <c r="E18" s="752">
        <f t="shared" si="0"/>
        <v>42.12</v>
      </c>
      <c r="F18" s="752">
        <f t="shared" si="1"/>
        <v>28.080000000000005</v>
      </c>
      <c r="G18" s="752">
        <f t="shared" si="2"/>
        <v>70.2</v>
      </c>
      <c r="H18" s="751"/>
    </row>
    <row r="19" spans="1:8" s="79" customFormat="1" ht="16.149999999999999" customHeight="1">
      <c r="A19" s="522">
        <v>9</v>
      </c>
      <c r="B19" s="480" t="s">
        <v>920</v>
      </c>
      <c r="C19" s="523">
        <v>538</v>
      </c>
      <c r="D19" s="752">
        <v>228</v>
      </c>
      <c r="E19" s="752">
        <f t="shared" si="0"/>
        <v>13.68</v>
      </c>
      <c r="F19" s="752">
        <f t="shared" si="1"/>
        <v>9.120000000000001</v>
      </c>
      <c r="G19" s="752">
        <f t="shared" si="2"/>
        <v>22.8</v>
      </c>
      <c r="H19" s="751"/>
    </row>
    <row r="20" spans="1:8" s="79" customFormat="1" ht="16.149999999999999" customHeight="1">
      <c r="A20" s="522">
        <v>10</v>
      </c>
      <c r="B20" s="480" t="s">
        <v>921</v>
      </c>
      <c r="C20" s="523">
        <v>1207</v>
      </c>
      <c r="D20" s="752">
        <v>840</v>
      </c>
      <c r="E20" s="752">
        <f t="shared" si="0"/>
        <v>50.4</v>
      </c>
      <c r="F20" s="752">
        <f t="shared" si="1"/>
        <v>33.6</v>
      </c>
      <c r="G20" s="752">
        <f t="shared" si="2"/>
        <v>84</v>
      </c>
      <c r="H20" s="751"/>
    </row>
    <row r="21" spans="1:8" s="79" customFormat="1" ht="16.149999999999999" customHeight="1">
      <c r="A21" s="522">
        <v>11</v>
      </c>
      <c r="B21" s="480" t="s">
        <v>922</v>
      </c>
      <c r="C21" s="523">
        <v>1128</v>
      </c>
      <c r="D21" s="752">
        <v>915</v>
      </c>
      <c r="E21" s="752">
        <f t="shared" si="0"/>
        <v>54.9</v>
      </c>
      <c r="F21" s="752">
        <f t="shared" si="1"/>
        <v>36.6</v>
      </c>
      <c r="G21" s="752">
        <f t="shared" si="2"/>
        <v>91.5</v>
      </c>
      <c r="H21" s="751"/>
    </row>
    <row r="22" spans="1:8" s="79" customFormat="1" ht="16.149999999999999" customHeight="1">
      <c r="A22" s="522">
        <v>12</v>
      </c>
      <c r="B22" s="480" t="s">
        <v>923</v>
      </c>
      <c r="C22" s="523">
        <v>1142</v>
      </c>
      <c r="D22" s="752">
        <v>0</v>
      </c>
      <c r="E22" s="752">
        <f t="shared" si="0"/>
        <v>0</v>
      </c>
      <c r="F22" s="752">
        <f t="shared" si="1"/>
        <v>0</v>
      </c>
      <c r="G22" s="752">
        <f t="shared" si="2"/>
        <v>0</v>
      </c>
      <c r="H22" s="751"/>
    </row>
    <row r="23" spans="1:8" s="79" customFormat="1" ht="16.149999999999999" customHeight="1">
      <c r="A23" s="522">
        <v>13</v>
      </c>
      <c r="B23" s="480" t="s">
        <v>924</v>
      </c>
      <c r="C23" s="523">
        <v>1259</v>
      </c>
      <c r="D23" s="752">
        <v>758</v>
      </c>
      <c r="E23" s="752">
        <f t="shared" si="0"/>
        <v>45.48</v>
      </c>
      <c r="F23" s="752">
        <f t="shared" si="1"/>
        <v>30.32</v>
      </c>
      <c r="G23" s="752">
        <f t="shared" si="2"/>
        <v>75.8</v>
      </c>
      <c r="H23" s="751"/>
    </row>
    <row r="24" spans="1:8" s="79" customFormat="1" ht="16.149999999999999" customHeight="1">
      <c r="A24" s="522">
        <v>14</v>
      </c>
      <c r="B24" s="480" t="s">
        <v>925</v>
      </c>
      <c r="C24" s="523">
        <v>311</v>
      </c>
      <c r="D24" s="752">
        <v>136</v>
      </c>
      <c r="E24" s="752">
        <f t="shared" si="0"/>
        <v>8.16</v>
      </c>
      <c r="F24" s="752">
        <f t="shared" si="1"/>
        <v>5.4399999999999995</v>
      </c>
      <c r="G24" s="752">
        <f t="shared" si="2"/>
        <v>13.6</v>
      </c>
      <c r="H24" s="751"/>
    </row>
    <row r="25" spans="1:8" s="79" customFormat="1" ht="16.149999999999999" customHeight="1">
      <c r="A25" s="522">
        <v>15</v>
      </c>
      <c r="B25" s="480" t="s">
        <v>926</v>
      </c>
      <c r="C25" s="523">
        <v>250</v>
      </c>
      <c r="D25" s="752">
        <v>0</v>
      </c>
      <c r="E25" s="752">
        <f t="shared" si="0"/>
        <v>0</v>
      </c>
      <c r="F25" s="752">
        <f t="shared" si="1"/>
        <v>0</v>
      </c>
      <c r="G25" s="752">
        <f t="shared" si="2"/>
        <v>0</v>
      </c>
      <c r="H25" s="751"/>
    </row>
    <row r="26" spans="1:8" s="79" customFormat="1" ht="16.149999999999999" customHeight="1">
      <c r="A26" s="522">
        <v>16</v>
      </c>
      <c r="B26" s="480" t="s">
        <v>927</v>
      </c>
      <c r="C26" s="523">
        <v>1615</v>
      </c>
      <c r="D26" s="752">
        <v>0</v>
      </c>
      <c r="E26" s="752">
        <f t="shared" si="0"/>
        <v>0</v>
      </c>
      <c r="F26" s="752">
        <f t="shared" si="1"/>
        <v>0</v>
      </c>
      <c r="G26" s="752">
        <f t="shared" si="2"/>
        <v>0</v>
      </c>
      <c r="H26" s="751"/>
    </row>
    <row r="27" spans="1:8" s="79" customFormat="1" ht="16.149999999999999" customHeight="1">
      <c r="A27" s="522">
        <v>17</v>
      </c>
      <c r="B27" s="480" t="s">
        <v>928</v>
      </c>
      <c r="C27" s="523">
        <v>1001</v>
      </c>
      <c r="D27" s="752">
        <v>891</v>
      </c>
      <c r="E27" s="752">
        <f t="shared" si="0"/>
        <v>53.459999999999994</v>
      </c>
      <c r="F27" s="752">
        <f t="shared" si="1"/>
        <v>35.64</v>
      </c>
      <c r="G27" s="752">
        <f t="shared" si="2"/>
        <v>89.1</v>
      </c>
      <c r="H27" s="751"/>
    </row>
    <row r="28" spans="1:8" s="79" customFormat="1" ht="16.149999999999999" customHeight="1">
      <c r="A28" s="522">
        <v>18</v>
      </c>
      <c r="B28" s="481" t="s">
        <v>929</v>
      </c>
      <c r="C28" s="523">
        <v>806</v>
      </c>
      <c r="D28" s="752">
        <v>367</v>
      </c>
      <c r="E28" s="752">
        <f t="shared" si="0"/>
        <v>22.02</v>
      </c>
      <c r="F28" s="752">
        <f t="shared" si="1"/>
        <v>14.680000000000003</v>
      </c>
      <c r="G28" s="752">
        <f t="shared" si="2"/>
        <v>36.700000000000003</v>
      </c>
      <c r="H28" s="751"/>
    </row>
    <row r="29" spans="1:8" s="79" customFormat="1" ht="16.149999999999999" customHeight="1">
      <c r="A29" s="522">
        <v>19</v>
      </c>
      <c r="B29" s="480" t="s">
        <v>930</v>
      </c>
      <c r="C29" s="523">
        <v>195</v>
      </c>
      <c r="D29" s="752">
        <v>0</v>
      </c>
      <c r="E29" s="752">
        <f t="shared" si="0"/>
        <v>0</v>
      </c>
      <c r="F29" s="752">
        <f t="shared" si="1"/>
        <v>0</v>
      </c>
      <c r="G29" s="752">
        <f t="shared" si="2"/>
        <v>0</v>
      </c>
      <c r="H29" s="751"/>
    </row>
    <row r="30" spans="1:8" s="79" customFormat="1" ht="16.149999999999999" customHeight="1">
      <c r="A30" s="522">
        <v>20</v>
      </c>
      <c r="B30" s="481" t="s">
        <v>931</v>
      </c>
      <c r="C30" s="523">
        <v>50</v>
      </c>
      <c r="D30" s="752">
        <v>50</v>
      </c>
      <c r="E30" s="752">
        <f t="shared" si="0"/>
        <v>3</v>
      </c>
      <c r="F30" s="752">
        <f t="shared" si="1"/>
        <v>2</v>
      </c>
      <c r="G30" s="752">
        <f t="shared" si="2"/>
        <v>5</v>
      </c>
      <c r="H30" s="751"/>
    </row>
    <row r="31" spans="1:8" s="79" customFormat="1" ht="16.149999999999999" customHeight="1">
      <c r="A31" s="522">
        <v>21</v>
      </c>
      <c r="B31" s="480" t="s">
        <v>932</v>
      </c>
      <c r="C31" s="523">
        <v>749</v>
      </c>
      <c r="D31" s="752">
        <v>43</v>
      </c>
      <c r="E31" s="752">
        <f t="shared" si="0"/>
        <v>2.5799999999999996</v>
      </c>
      <c r="F31" s="752">
        <f t="shared" si="1"/>
        <v>1.7200000000000002</v>
      </c>
      <c r="G31" s="752">
        <f t="shared" si="2"/>
        <v>4.3</v>
      </c>
      <c r="H31" s="751"/>
    </row>
    <row r="32" spans="1:8" s="79" customFormat="1" ht="16.149999999999999" customHeight="1">
      <c r="A32" s="522">
        <v>22</v>
      </c>
      <c r="B32" s="480" t="s">
        <v>933</v>
      </c>
      <c r="C32" s="523">
        <v>1014</v>
      </c>
      <c r="D32" s="752">
        <v>238</v>
      </c>
      <c r="E32" s="752">
        <f t="shared" si="0"/>
        <v>14.28</v>
      </c>
      <c r="F32" s="752">
        <f t="shared" si="1"/>
        <v>9.5200000000000014</v>
      </c>
      <c r="G32" s="752">
        <f t="shared" si="2"/>
        <v>23.8</v>
      </c>
      <c r="H32" s="751"/>
    </row>
    <row r="33" spans="1:27" s="79" customFormat="1" ht="16.149999999999999" customHeight="1">
      <c r="A33" s="522">
        <v>23</v>
      </c>
      <c r="B33" s="480" t="s">
        <v>934</v>
      </c>
      <c r="C33" s="523">
        <v>542</v>
      </c>
      <c r="D33" s="752">
        <v>320</v>
      </c>
      <c r="E33" s="752">
        <f t="shared" si="0"/>
        <v>19.2</v>
      </c>
      <c r="F33" s="752">
        <f t="shared" si="1"/>
        <v>12.8</v>
      </c>
      <c r="G33" s="752">
        <f t="shared" si="2"/>
        <v>32</v>
      </c>
      <c r="H33" s="751"/>
    </row>
    <row r="34" spans="1:27" s="79" customFormat="1" ht="16.149999999999999" customHeight="1">
      <c r="A34" s="522">
        <v>24</v>
      </c>
      <c r="B34" s="480" t="s">
        <v>935</v>
      </c>
      <c r="C34" s="523">
        <v>229</v>
      </c>
      <c r="D34" s="752">
        <v>0</v>
      </c>
      <c r="E34" s="752">
        <f t="shared" si="0"/>
        <v>0</v>
      </c>
      <c r="F34" s="752">
        <f t="shared" si="1"/>
        <v>0</v>
      </c>
      <c r="G34" s="752">
        <f t="shared" si="2"/>
        <v>0</v>
      </c>
      <c r="H34" s="751"/>
    </row>
    <row r="35" spans="1:27" s="79" customFormat="1" ht="16.149999999999999" customHeight="1">
      <c r="A35" s="522">
        <v>25</v>
      </c>
      <c r="B35" s="480" t="s">
        <v>936</v>
      </c>
      <c r="C35" s="523">
        <v>673</v>
      </c>
      <c r="D35" s="752">
        <v>0</v>
      </c>
      <c r="E35" s="752">
        <f t="shared" si="0"/>
        <v>0</v>
      </c>
      <c r="F35" s="752">
        <f t="shared" si="1"/>
        <v>0</v>
      </c>
      <c r="G35" s="752">
        <f t="shared" si="2"/>
        <v>0</v>
      </c>
      <c r="H35" s="751"/>
    </row>
    <row r="36" spans="1:27">
      <c r="A36" s="522">
        <v>26</v>
      </c>
      <c r="B36" s="480" t="s">
        <v>937</v>
      </c>
      <c r="C36" s="524">
        <v>997</v>
      </c>
      <c r="D36" s="752">
        <v>0</v>
      </c>
      <c r="E36" s="752">
        <f t="shared" si="0"/>
        <v>0</v>
      </c>
      <c r="F36" s="752">
        <f t="shared" si="1"/>
        <v>0</v>
      </c>
      <c r="G36" s="752">
        <f t="shared" si="2"/>
        <v>0</v>
      </c>
      <c r="H36" s="751"/>
    </row>
    <row r="37" spans="1:27">
      <c r="A37" s="522">
        <v>27</v>
      </c>
      <c r="B37" s="480" t="s">
        <v>938</v>
      </c>
      <c r="C37" s="524">
        <v>952</v>
      </c>
      <c r="D37" s="752">
        <v>0</v>
      </c>
      <c r="E37" s="752">
        <f t="shared" si="0"/>
        <v>0</v>
      </c>
      <c r="F37" s="752">
        <f t="shared" si="1"/>
        <v>0</v>
      </c>
      <c r="G37" s="752">
        <f t="shared" si="2"/>
        <v>0</v>
      </c>
      <c r="H37" s="751"/>
    </row>
    <row r="38" spans="1:27">
      <c r="A38" s="522">
        <v>28</v>
      </c>
      <c r="B38" s="480" t="s">
        <v>939</v>
      </c>
      <c r="C38" s="524">
        <v>1049</v>
      </c>
      <c r="D38" s="752">
        <v>0</v>
      </c>
      <c r="E38" s="752">
        <f t="shared" si="0"/>
        <v>0</v>
      </c>
      <c r="F38" s="752">
        <f t="shared" si="1"/>
        <v>0</v>
      </c>
      <c r="G38" s="752">
        <f t="shared" si="2"/>
        <v>0</v>
      </c>
      <c r="H38" s="751"/>
    </row>
    <row r="39" spans="1:27">
      <c r="A39" s="522">
        <v>29</v>
      </c>
      <c r="B39" s="480" t="s">
        <v>940</v>
      </c>
      <c r="C39" s="524">
        <v>330</v>
      </c>
      <c r="D39" s="752">
        <v>194</v>
      </c>
      <c r="E39" s="752">
        <f t="shared" si="0"/>
        <v>11.639999999999999</v>
      </c>
      <c r="F39" s="752">
        <f t="shared" si="1"/>
        <v>7.76</v>
      </c>
      <c r="G39" s="752">
        <f t="shared" si="2"/>
        <v>19.399999999999999</v>
      </c>
      <c r="H39" s="751"/>
    </row>
    <row r="40" spans="1:27" s="80" customFormat="1">
      <c r="A40" s="522">
        <v>30</v>
      </c>
      <c r="B40" s="480" t="s">
        <v>941</v>
      </c>
      <c r="C40" s="524">
        <v>698</v>
      </c>
      <c r="D40" s="752">
        <v>0</v>
      </c>
      <c r="E40" s="752">
        <f t="shared" si="0"/>
        <v>0</v>
      </c>
      <c r="F40" s="752">
        <f t="shared" si="1"/>
        <v>0</v>
      </c>
      <c r="G40" s="752">
        <f t="shared" si="2"/>
        <v>0</v>
      </c>
      <c r="H40" s="751"/>
      <c r="I40" s="81"/>
      <c r="J40" s="81"/>
      <c r="K40" s="81"/>
      <c r="L40" s="81"/>
      <c r="M40" s="81"/>
      <c r="N40" s="81"/>
      <c r="O40" s="81"/>
      <c r="P40" s="81"/>
      <c r="Q40" s="81"/>
      <c r="R40" s="81"/>
      <c r="S40" s="81"/>
      <c r="T40" s="81"/>
      <c r="U40" s="81"/>
      <c r="V40" s="81"/>
      <c r="W40" s="81"/>
      <c r="X40" s="81"/>
      <c r="Y40" s="81"/>
      <c r="Z40" s="81"/>
      <c r="AA40" s="81"/>
    </row>
    <row r="41" spans="1:27">
      <c r="A41" s="522">
        <v>31</v>
      </c>
      <c r="B41" s="480" t="s">
        <v>942</v>
      </c>
      <c r="C41" s="524">
        <v>150</v>
      </c>
      <c r="D41" s="752">
        <v>150</v>
      </c>
      <c r="E41" s="752">
        <f t="shared" si="0"/>
        <v>9</v>
      </c>
      <c r="F41" s="752">
        <f t="shared" si="1"/>
        <v>6</v>
      </c>
      <c r="G41" s="752">
        <f t="shared" si="2"/>
        <v>15</v>
      </c>
      <c r="H41" s="751"/>
    </row>
    <row r="42" spans="1:27">
      <c r="A42" s="522">
        <v>32</v>
      </c>
      <c r="B42" s="480" t="s">
        <v>943</v>
      </c>
      <c r="C42" s="524">
        <v>788</v>
      </c>
      <c r="D42" s="752">
        <v>0</v>
      </c>
      <c r="E42" s="752">
        <f t="shared" si="0"/>
        <v>0</v>
      </c>
      <c r="F42" s="752">
        <f t="shared" si="1"/>
        <v>0</v>
      </c>
      <c r="G42" s="752">
        <f t="shared" si="2"/>
        <v>0</v>
      </c>
      <c r="H42" s="751"/>
    </row>
    <row r="43" spans="1:27">
      <c r="A43" s="522">
        <v>33</v>
      </c>
      <c r="B43" s="480" t="s">
        <v>944</v>
      </c>
      <c r="C43" s="524">
        <v>1490</v>
      </c>
      <c r="D43" s="752">
        <v>0</v>
      </c>
      <c r="E43" s="752">
        <f t="shared" si="0"/>
        <v>0</v>
      </c>
      <c r="F43" s="752">
        <f t="shared" si="1"/>
        <v>0</v>
      </c>
      <c r="G43" s="752">
        <f t="shared" si="2"/>
        <v>0</v>
      </c>
      <c r="H43" s="751"/>
    </row>
    <row r="44" spans="1:27">
      <c r="A44" s="522">
        <v>34</v>
      </c>
      <c r="B44" s="480" t="s">
        <v>945</v>
      </c>
      <c r="C44" s="524">
        <v>307</v>
      </c>
      <c r="D44" s="752">
        <v>307</v>
      </c>
      <c r="E44" s="752">
        <f t="shared" si="0"/>
        <v>18.419999999999998</v>
      </c>
      <c r="F44" s="752">
        <f t="shared" si="1"/>
        <v>12.280000000000001</v>
      </c>
      <c r="G44" s="752">
        <f t="shared" si="2"/>
        <v>30.7</v>
      </c>
      <c r="H44" s="751"/>
    </row>
    <row r="45" spans="1:27">
      <c r="A45" s="282" t="s">
        <v>17</v>
      </c>
      <c r="B45" s="80"/>
      <c r="C45" s="282">
        <f>SUM(C11:C44)</f>
        <v>26554</v>
      </c>
      <c r="D45" s="749">
        <f>SUM(D11:D44)</f>
        <v>8051</v>
      </c>
      <c r="E45" s="749">
        <f>SUM(E11:E44)</f>
        <v>483.05999999999995</v>
      </c>
      <c r="F45" s="749">
        <f t="shared" ref="F45:G45" si="3">SUM(F11:F44)</f>
        <v>322.03999999999996</v>
      </c>
      <c r="G45" s="754">
        <f t="shared" si="3"/>
        <v>805.1</v>
      </c>
      <c r="H45" s="750"/>
    </row>
    <row r="47" spans="1:27" ht="5.25" customHeight="1"/>
    <row r="48" spans="1:27">
      <c r="A48" s="276"/>
      <c r="B48" s="277"/>
      <c r="C48" s="277"/>
      <c r="D48" s="275"/>
      <c r="E48" s="268"/>
      <c r="F48" s="268"/>
      <c r="G48" s="268"/>
      <c r="H48" s="268"/>
      <c r="I48" s="268"/>
    </row>
    <row r="49" spans="1:9">
      <c r="A49" s="278"/>
      <c r="B49" s="278"/>
      <c r="C49" s="268"/>
      <c r="D49" s="268"/>
      <c r="E49" s="268"/>
      <c r="G49" s="268"/>
      <c r="H49" s="268"/>
      <c r="I49" s="268"/>
    </row>
    <row r="50" spans="1:9">
      <c r="A50" s="268"/>
      <c r="B50" s="520" t="s">
        <v>906</v>
      </c>
      <c r="D50" s="520"/>
      <c r="E50" s="1136" t="s">
        <v>12</v>
      </c>
      <c r="F50" s="1136"/>
      <c r="G50" s="1136"/>
      <c r="I50" s="268"/>
    </row>
    <row r="51" spans="1:9" ht="15" customHeight="1">
      <c r="A51" s="268"/>
      <c r="B51" s="521" t="s">
        <v>907</v>
      </c>
      <c r="D51" s="521"/>
      <c r="E51" s="1136" t="s">
        <v>13</v>
      </c>
      <c r="F51" s="1136"/>
      <c r="G51" s="1136"/>
      <c r="I51" s="268"/>
    </row>
    <row r="52" spans="1:9">
      <c r="A52" s="268"/>
      <c r="B52" s="521" t="s">
        <v>908</v>
      </c>
      <c r="D52" s="521"/>
      <c r="E52" s="1136" t="s">
        <v>18</v>
      </c>
      <c r="F52" s="1136"/>
      <c r="G52" s="1136"/>
      <c r="I52" s="268"/>
    </row>
    <row r="53" spans="1:9">
      <c r="A53" s="440" t="s">
        <v>11</v>
      </c>
      <c r="B53" s="290"/>
      <c r="C53" s="440"/>
      <c r="D53" s="440"/>
      <c r="E53" s="801" t="s">
        <v>84</v>
      </c>
      <c r="F53" s="801"/>
      <c r="G53" s="801"/>
      <c r="I53" s="268"/>
    </row>
  </sheetData>
  <mergeCells count="12">
    <mergeCell ref="B2:F2"/>
    <mergeCell ref="F1:G1"/>
    <mergeCell ref="E8:G8"/>
    <mergeCell ref="A8:A9"/>
    <mergeCell ref="B8:B9"/>
    <mergeCell ref="C8:C9"/>
    <mergeCell ref="D8:D9"/>
    <mergeCell ref="E53:G53"/>
    <mergeCell ref="E50:G50"/>
    <mergeCell ref="E51:G51"/>
    <mergeCell ref="E52:G52"/>
    <mergeCell ref="B4:G4"/>
  </mergeCells>
  <printOptions horizontalCentered="1"/>
  <pageMargins left="0.70866141732283472" right="0.70866141732283472" top="0.23622047244094491" bottom="0" header="0.31496062992125984" footer="0.31496062992125984"/>
  <pageSetup paperSize="9" scale="64" orientation="landscape" r:id="rId1"/>
</worksheet>
</file>

<file path=xl/worksheets/sheet67.xml><?xml version="1.0" encoding="utf-8"?>
<worksheet xmlns="http://schemas.openxmlformats.org/spreadsheetml/2006/main" xmlns:r="http://schemas.openxmlformats.org/officeDocument/2006/relationships">
  <sheetPr codeName="Sheet67">
    <pageSetUpPr fitToPage="1"/>
  </sheetPr>
  <dimension ref="A1:AV53"/>
  <sheetViews>
    <sheetView view="pageBreakPreview" topLeftCell="A37" zoomScale="90" zoomScaleNormal="90" zoomScaleSheetLayoutView="90" workbookViewId="0">
      <selection activeCell="A50" sqref="A50:C52"/>
    </sheetView>
  </sheetViews>
  <sheetFormatPr defaultRowHeight="15"/>
  <cols>
    <col min="1" max="1" width="9.140625" style="74"/>
    <col min="2" max="2" width="25.140625" style="74" customWidth="1"/>
    <col min="3" max="3" width="9.7109375" style="74" customWidth="1"/>
    <col min="4" max="4" width="8.140625" style="74" customWidth="1"/>
    <col min="5" max="5" width="7.42578125" style="74" customWidth="1"/>
    <col min="6" max="6" width="9.140625" style="74" customWidth="1"/>
    <col min="7" max="7" width="9.5703125" style="74" customWidth="1"/>
    <col min="8" max="8" width="8.140625" style="74" customWidth="1"/>
    <col min="9" max="9" width="6.85546875" style="74" customWidth="1"/>
    <col min="10" max="10" width="9.28515625" style="74" customWidth="1"/>
    <col min="11" max="11" width="10.5703125" style="74" customWidth="1"/>
    <col min="12" max="12" width="8.7109375" style="74" customWidth="1"/>
    <col min="13" max="13" width="7.42578125" style="74" customWidth="1"/>
    <col min="14" max="14" width="8.5703125" style="74" customWidth="1"/>
    <col min="15" max="15" width="8.7109375" style="74" customWidth="1"/>
    <col min="16" max="16" width="8.5703125" style="74" customWidth="1"/>
    <col min="17" max="17" width="7.85546875" style="74" customWidth="1"/>
    <col min="18" max="18" width="8.5703125" style="74" customWidth="1"/>
    <col min="19" max="20" width="10.5703125" style="74" customWidth="1"/>
    <col min="21" max="21" width="11.140625" style="74" customWidth="1"/>
    <col min="22" max="22" width="10.7109375" style="74" bestFit="1" customWidth="1"/>
    <col min="23" max="16384" width="9.140625" style="74"/>
  </cols>
  <sheetData>
    <row r="1" spans="1:24" s="15" customFormat="1" ht="15.75">
      <c r="C1" s="42"/>
      <c r="D1" s="42"/>
      <c r="E1" s="42"/>
      <c r="F1" s="42"/>
      <c r="G1" s="42"/>
      <c r="H1" s="42"/>
      <c r="I1" s="106" t="s">
        <v>0</v>
      </c>
      <c r="J1" s="106"/>
      <c r="S1" s="38"/>
      <c r="T1" s="38"/>
      <c r="U1" s="919" t="s">
        <v>541</v>
      </c>
      <c r="V1" s="919"/>
      <c r="W1" s="40"/>
      <c r="X1" s="40"/>
    </row>
    <row r="2" spans="1:24" s="15" customFormat="1" ht="20.25">
      <c r="E2" s="848" t="s">
        <v>745</v>
      </c>
      <c r="F2" s="848"/>
      <c r="G2" s="848"/>
      <c r="H2" s="848"/>
      <c r="I2" s="848"/>
      <c r="J2" s="848"/>
      <c r="K2" s="848"/>
      <c r="L2" s="848"/>
      <c r="M2" s="848"/>
      <c r="N2" s="848"/>
      <c r="O2" s="848"/>
      <c r="P2" s="848"/>
    </row>
    <row r="3" spans="1:24" s="15" customFormat="1" ht="20.25">
      <c r="H3" s="41"/>
      <c r="I3" s="41"/>
      <c r="J3" s="41"/>
      <c r="K3" s="41"/>
      <c r="L3" s="41"/>
      <c r="M3" s="41"/>
      <c r="N3" s="41"/>
      <c r="O3" s="41"/>
      <c r="P3" s="41"/>
    </row>
    <row r="4" spans="1:24" ht="15.75">
      <c r="C4" s="849" t="s">
        <v>760</v>
      </c>
      <c r="D4" s="849"/>
      <c r="E4" s="849"/>
      <c r="F4" s="849"/>
      <c r="G4" s="849"/>
      <c r="H4" s="849"/>
      <c r="I4" s="849"/>
      <c r="J4" s="849"/>
      <c r="K4" s="849"/>
      <c r="L4" s="849"/>
      <c r="M4" s="849"/>
      <c r="N4" s="849"/>
      <c r="O4" s="849"/>
      <c r="P4" s="849"/>
      <c r="Q4" s="849"/>
      <c r="R4" s="44"/>
      <c r="S4" s="113"/>
      <c r="T4" s="113"/>
      <c r="U4" s="113"/>
      <c r="V4" s="113"/>
      <c r="W4" s="106"/>
    </row>
    <row r="5" spans="1:24">
      <c r="C5" s="75"/>
      <c r="D5" s="75"/>
      <c r="E5" s="75"/>
      <c r="F5" s="75"/>
      <c r="G5" s="75"/>
      <c r="H5" s="75"/>
      <c r="M5" s="75"/>
      <c r="N5" s="75"/>
      <c r="O5" s="75"/>
      <c r="P5" s="75"/>
      <c r="Q5" s="75"/>
      <c r="R5" s="75"/>
      <c r="S5" s="75"/>
      <c r="T5" s="75"/>
      <c r="U5" s="75"/>
      <c r="V5" s="75"/>
      <c r="W5" s="75"/>
    </row>
    <row r="6" spans="1:24">
      <c r="A6" s="78" t="s">
        <v>948</v>
      </c>
      <c r="B6" s="85"/>
    </row>
    <row r="7" spans="1:24">
      <c r="B7" s="317"/>
    </row>
    <row r="8" spans="1:24" s="78" customFormat="1" ht="24.75" customHeight="1">
      <c r="A8" s="834" t="s">
        <v>2</v>
      </c>
      <c r="B8" s="1161" t="s">
        <v>3</v>
      </c>
      <c r="C8" s="1162" t="s">
        <v>690</v>
      </c>
      <c r="D8" s="1163"/>
      <c r="E8" s="1163"/>
      <c r="F8" s="1163"/>
      <c r="G8" s="1162" t="s">
        <v>694</v>
      </c>
      <c r="H8" s="1163"/>
      <c r="I8" s="1163"/>
      <c r="J8" s="1163"/>
      <c r="K8" s="1162" t="s">
        <v>695</v>
      </c>
      <c r="L8" s="1163"/>
      <c r="M8" s="1163"/>
      <c r="N8" s="1163"/>
      <c r="O8" s="1162" t="s">
        <v>696</v>
      </c>
      <c r="P8" s="1163"/>
      <c r="Q8" s="1163"/>
      <c r="R8" s="1163"/>
      <c r="S8" s="1179" t="s">
        <v>17</v>
      </c>
      <c r="T8" s="1180"/>
      <c r="U8" s="1180"/>
      <c r="V8" s="1180"/>
    </row>
    <row r="9" spans="1:24" s="79" customFormat="1" ht="29.25" customHeight="1">
      <c r="A9" s="834"/>
      <c r="B9" s="1161"/>
      <c r="C9" s="1174" t="s">
        <v>691</v>
      </c>
      <c r="D9" s="1176" t="s">
        <v>693</v>
      </c>
      <c r="E9" s="1177"/>
      <c r="F9" s="1178"/>
      <c r="G9" s="1174" t="s">
        <v>691</v>
      </c>
      <c r="H9" s="1176" t="s">
        <v>693</v>
      </c>
      <c r="I9" s="1177"/>
      <c r="J9" s="1178"/>
      <c r="K9" s="1174" t="s">
        <v>691</v>
      </c>
      <c r="L9" s="1176" t="s">
        <v>693</v>
      </c>
      <c r="M9" s="1177"/>
      <c r="N9" s="1178"/>
      <c r="O9" s="1174" t="s">
        <v>691</v>
      </c>
      <c r="P9" s="1176" t="s">
        <v>693</v>
      </c>
      <c r="Q9" s="1177"/>
      <c r="R9" s="1178"/>
      <c r="S9" s="1174" t="s">
        <v>691</v>
      </c>
      <c r="T9" s="1176" t="s">
        <v>693</v>
      </c>
      <c r="U9" s="1177"/>
      <c r="V9" s="1178"/>
    </row>
    <row r="10" spans="1:24" s="79" customFormat="1" ht="46.5" customHeight="1">
      <c r="A10" s="834"/>
      <c r="B10" s="1161"/>
      <c r="C10" s="1175"/>
      <c r="D10" s="73" t="s">
        <v>692</v>
      </c>
      <c r="E10" s="73" t="s">
        <v>202</v>
      </c>
      <c r="F10" s="73" t="s">
        <v>17</v>
      </c>
      <c r="G10" s="1175"/>
      <c r="H10" s="73" t="s">
        <v>692</v>
      </c>
      <c r="I10" s="73" t="s">
        <v>202</v>
      </c>
      <c r="J10" s="73" t="s">
        <v>17</v>
      </c>
      <c r="K10" s="1175"/>
      <c r="L10" s="73" t="s">
        <v>692</v>
      </c>
      <c r="M10" s="73" t="s">
        <v>202</v>
      </c>
      <c r="N10" s="73" t="s">
        <v>17</v>
      </c>
      <c r="O10" s="1175"/>
      <c r="P10" s="73" t="s">
        <v>692</v>
      </c>
      <c r="Q10" s="73" t="s">
        <v>202</v>
      </c>
      <c r="R10" s="73" t="s">
        <v>17</v>
      </c>
      <c r="S10" s="1175"/>
      <c r="T10" s="73" t="s">
        <v>692</v>
      </c>
      <c r="U10" s="73" t="s">
        <v>202</v>
      </c>
      <c r="V10" s="73" t="s">
        <v>17</v>
      </c>
    </row>
    <row r="11" spans="1:24" s="151" customFormat="1" ht="16.149999999999999" customHeight="1">
      <c r="A11" s="318">
        <v>1</v>
      </c>
      <c r="B11" s="150">
        <v>2</v>
      </c>
      <c r="C11" s="150">
        <v>3</v>
      </c>
      <c r="D11" s="318">
        <v>4</v>
      </c>
      <c r="E11" s="150">
        <v>5</v>
      </c>
      <c r="F11" s="150">
        <v>6</v>
      </c>
      <c r="G11" s="318">
        <v>7</v>
      </c>
      <c r="H11" s="150">
        <v>8</v>
      </c>
      <c r="I11" s="150">
        <v>9</v>
      </c>
      <c r="J11" s="318">
        <v>10</v>
      </c>
      <c r="K11" s="150">
        <v>11</v>
      </c>
      <c r="L11" s="150">
        <v>12</v>
      </c>
      <c r="M11" s="318">
        <v>13</v>
      </c>
      <c r="N11" s="150">
        <v>14</v>
      </c>
      <c r="O11" s="150">
        <v>15</v>
      </c>
      <c r="P11" s="318">
        <v>16</v>
      </c>
      <c r="Q11" s="150">
        <v>17</v>
      </c>
      <c r="R11" s="150">
        <v>18</v>
      </c>
      <c r="S11" s="318">
        <v>19</v>
      </c>
      <c r="T11" s="150">
        <v>20</v>
      </c>
      <c r="U11" s="150">
        <v>21</v>
      </c>
      <c r="V11" s="318">
        <v>22</v>
      </c>
    </row>
    <row r="12" spans="1:24">
      <c r="A12" s="116">
        <v>1</v>
      </c>
      <c r="B12" s="397" t="s">
        <v>912</v>
      </c>
      <c r="C12" s="80">
        <v>0</v>
      </c>
      <c r="D12" s="80">
        <v>0</v>
      </c>
      <c r="E12" s="80">
        <v>0</v>
      </c>
      <c r="F12" s="80">
        <v>0</v>
      </c>
      <c r="G12" s="80">
        <v>0</v>
      </c>
      <c r="H12" s="80">
        <v>0</v>
      </c>
      <c r="I12" s="80">
        <v>0</v>
      </c>
      <c r="J12" s="80">
        <v>0</v>
      </c>
      <c r="K12" s="80">
        <v>0</v>
      </c>
      <c r="L12" s="80">
        <v>0</v>
      </c>
      <c r="M12" s="80">
        <v>0</v>
      </c>
      <c r="N12" s="80">
        <v>0</v>
      </c>
      <c r="O12" s="80">
        <v>0</v>
      </c>
      <c r="P12" s="80">
        <v>0</v>
      </c>
      <c r="Q12" s="80">
        <v>0</v>
      </c>
      <c r="R12" s="80">
        <v>0</v>
      </c>
      <c r="S12" s="80">
        <v>0</v>
      </c>
      <c r="T12" s="80">
        <v>0</v>
      </c>
      <c r="U12" s="80">
        <v>0</v>
      </c>
      <c r="V12" s="80">
        <v>0</v>
      </c>
    </row>
    <row r="13" spans="1:24">
      <c r="A13" s="116">
        <v>2</v>
      </c>
      <c r="B13" s="397" t="s">
        <v>913</v>
      </c>
      <c r="C13" s="80">
        <v>0</v>
      </c>
      <c r="D13" s="80">
        <v>0</v>
      </c>
      <c r="E13" s="80">
        <v>0</v>
      </c>
      <c r="F13" s="80">
        <v>0</v>
      </c>
      <c r="G13" s="80">
        <v>0</v>
      </c>
      <c r="H13" s="80">
        <v>0</v>
      </c>
      <c r="I13" s="80">
        <v>0</v>
      </c>
      <c r="J13" s="80">
        <v>0</v>
      </c>
      <c r="K13" s="80">
        <v>0</v>
      </c>
      <c r="L13" s="80">
        <v>0</v>
      </c>
      <c r="M13" s="80">
        <v>0</v>
      </c>
      <c r="N13" s="80">
        <v>0</v>
      </c>
      <c r="O13" s="80">
        <v>0</v>
      </c>
      <c r="P13" s="80">
        <v>0</v>
      </c>
      <c r="Q13" s="80">
        <v>0</v>
      </c>
      <c r="R13" s="80">
        <v>0</v>
      </c>
      <c r="S13" s="80">
        <v>0</v>
      </c>
      <c r="T13" s="80">
        <v>0</v>
      </c>
      <c r="U13" s="80">
        <v>0</v>
      </c>
      <c r="V13" s="80">
        <v>0</v>
      </c>
    </row>
    <row r="14" spans="1:24">
      <c r="A14" s="116">
        <v>3</v>
      </c>
      <c r="B14" s="397" t="s">
        <v>914</v>
      </c>
      <c r="C14" s="80">
        <v>0</v>
      </c>
      <c r="D14" s="80">
        <v>0</v>
      </c>
      <c r="E14" s="80">
        <v>0</v>
      </c>
      <c r="F14" s="80">
        <v>0</v>
      </c>
      <c r="G14" s="80">
        <v>0</v>
      </c>
      <c r="H14" s="80">
        <v>0</v>
      </c>
      <c r="I14" s="80">
        <v>0</v>
      </c>
      <c r="J14" s="80">
        <v>0</v>
      </c>
      <c r="K14" s="80">
        <v>0</v>
      </c>
      <c r="L14" s="80">
        <v>0</v>
      </c>
      <c r="M14" s="80">
        <v>0</v>
      </c>
      <c r="N14" s="80">
        <v>0</v>
      </c>
      <c r="O14" s="80">
        <v>0</v>
      </c>
      <c r="P14" s="80">
        <v>0</v>
      </c>
      <c r="Q14" s="80">
        <v>0</v>
      </c>
      <c r="R14" s="80">
        <v>0</v>
      </c>
      <c r="S14" s="80">
        <v>0</v>
      </c>
      <c r="T14" s="80">
        <v>0</v>
      </c>
      <c r="U14" s="80">
        <v>0</v>
      </c>
      <c r="V14" s="80">
        <v>0</v>
      </c>
    </row>
    <row r="15" spans="1:24">
      <c r="A15" s="116">
        <v>4</v>
      </c>
      <c r="B15" s="397" t="s">
        <v>915</v>
      </c>
      <c r="C15" s="80">
        <v>0</v>
      </c>
      <c r="D15" s="80">
        <v>0</v>
      </c>
      <c r="E15" s="80">
        <v>0</v>
      </c>
      <c r="F15" s="80">
        <v>0</v>
      </c>
      <c r="G15" s="80">
        <v>0</v>
      </c>
      <c r="H15" s="80">
        <v>0</v>
      </c>
      <c r="I15" s="80">
        <v>0</v>
      </c>
      <c r="J15" s="80">
        <v>0</v>
      </c>
      <c r="K15" s="80">
        <v>0</v>
      </c>
      <c r="L15" s="80">
        <v>0</v>
      </c>
      <c r="M15" s="80">
        <v>0</v>
      </c>
      <c r="N15" s="80">
        <v>0</v>
      </c>
      <c r="O15" s="80">
        <v>0</v>
      </c>
      <c r="P15" s="80">
        <v>0</v>
      </c>
      <c r="Q15" s="80">
        <v>0</v>
      </c>
      <c r="R15" s="80">
        <v>0</v>
      </c>
      <c r="S15" s="80">
        <v>0</v>
      </c>
      <c r="T15" s="80">
        <v>0</v>
      </c>
      <c r="U15" s="80">
        <v>0</v>
      </c>
      <c r="V15" s="80">
        <v>0</v>
      </c>
    </row>
    <row r="16" spans="1:24">
      <c r="A16" s="116">
        <v>5</v>
      </c>
      <c r="B16" s="397" t="s">
        <v>916</v>
      </c>
      <c r="C16" s="80">
        <v>0</v>
      </c>
      <c r="D16" s="80">
        <v>0</v>
      </c>
      <c r="E16" s="80">
        <v>0</v>
      </c>
      <c r="F16" s="80">
        <v>0</v>
      </c>
      <c r="G16" s="80">
        <v>0</v>
      </c>
      <c r="H16" s="80">
        <v>0</v>
      </c>
      <c r="I16" s="80">
        <v>0</v>
      </c>
      <c r="J16" s="80">
        <v>0</v>
      </c>
      <c r="K16" s="80">
        <v>0</v>
      </c>
      <c r="L16" s="80">
        <v>0</v>
      </c>
      <c r="M16" s="80">
        <v>0</v>
      </c>
      <c r="N16" s="80">
        <v>0</v>
      </c>
      <c r="O16" s="80">
        <v>0</v>
      </c>
      <c r="P16" s="80">
        <v>0</v>
      </c>
      <c r="Q16" s="80">
        <v>0</v>
      </c>
      <c r="R16" s="80">
        <v>0</v>
      </c>
      <c r="S16" s="80">
        <v>0</v>
      </c>
      <c r="T16" s="80">
        <v>0</v>
      </c>
      <c r="U16" s="80">
        <v>0</v>
      </c>
      <c r="V16" s="80">
        <v>0</v>
      </c>
    </row>
    <row r="17" spans="1:22">
      <c r="A17" s="116">
        <v>6</v>
      </c>
      <c r="B17" s="397" t="s">
        <v>917</v>
      </c>
      <c r="C17" s="80">
        <v>0</v>
      </c>
      <c r="D17" s="80">
        <v>0</v>
      </c>
      <c r="E17" s="80">
        <v>0</v>
      </c>
      <c r="F17" s="80">
        <v>0</v>
      </c>
      <c r="G17" s="80">
        <v>0</v>
      </c>
      <c r="H17" s="80">
        <v>0</v>
      </c>
      <c r="I17" s="80">
        <v>0</v>
      </c>
      <c r="J17" s="80">
        <v>0</v>
      </c>
      <c r="K17" s="80">
        <v>0</v>
      </c>
      <c r="L17" s="80">
        <v>0</v>
      </c>
      <c r="M17" s="80">
        <v>0</v>
      </c>
      <c r="N17" s="80">
        <v>0</v>
      </c>
      <c r="O17" s="80">
        <v>0</v>
      </c>
      <c r="P17" s="80">
        <v>0</v>
      </c>
      <c r="Q17" s="80">
        <v>0</v>
      </c>
      <c r="R17" s="80">
        <v>0</v>
      </c>
      <c r="S17" s="80">
        <v>0</v>
      </c>
      <c r="T17" s="80">
        <v>0</v>
      </c>
      <c r="U17" s="80">
        <v>0</v>
      </c>
      <c r="V17" s="80">
        <v>0</v>
      </c>
    </row>
    <row r="18" spans="1:22">
      <c r="A18" s="116">
        <v>7</v>
      </c>
      <c r="B18" s="397" t="s">
        <v>918</v>
      </c>
      <c r="C18" s="80">
        <v>0</v>
      </c>
      <c r="D18" s="80">
        <v>0</v>
      </c>
      <c r="E18" s="80">
        <v>0</v>
      </c>
      <c r="F18" s="80">
        <v>0</v>
      </c>
      <c r="G18" s="80">
        <v>0</v>
      </c>
      <c r="H18" s="80">
        <v>0</v>
      </c>
      <c r="I18" s="80">
        <v>0</v>
      </c>
      <c r="J18" s="80">
        <v>0</v>
      </c>
      <c r="K18" s="80">
        <v>0</v>
      </c>
      <c r="L18" s="80">
        <v>0</v>
      </c>
      <c r="M18" s="80">
        <v>0</v>
      </c>
      <c r="N18" s="80">
        <v>0</v>
      </c>
      <c r="O18" s="80">
        <v>0</v>
      </c>
      <c r="P18" s="80">
        <v>0</v>
      </c>
      <c r="Q18" s="80">
        <v>0</v>
      </c>
      <c r="R18" s="80">
        <v>0</v>
      </c>
      <c r="S18" s="80">
        <v>0</v>
      </c>
      <c r="T18" s="80">
        <v>0</v>
      </c>
      <c r="U18" s="80">
        <v>0</v>
      </c>
      <c r="V18" s="80">
        <v>0</v>
      </c>
    </row>
    <row r="19" spans="1:22">
      <c r="A19" s="116">
        <v>8</v>
      </c>
      <c r="B19" s="397" t="s">
        <v>919</v>
      </c>
      <c r="C19" s="80">
        <v>0</v>
      </c>
      <c r="D19" s="80">
        <v>0</v>
      </c>
      <c r="E19" s="80">
        <v>0</v>
      </c>
      <c r="F19" s="80">
        <v>0</v>
      </c>
      <c r="G19" s="80">
        <v>0</v>
      </c>
      <c r="H19" s="80">
        <v>0</v>
      </c>
      <c r="I19" s="80">
        <v>0</v>
      </c>
      <c r="J19" s="80">
        <v>0</v>
      </c>
      <c r="K19" s="80">
        <v>0</v>
      </c>
      <c r="L19" s="80">
        <v>0</v>
      </c>
      <c r="M19" s="80">
        <v>0</v>
      </c>
      <c r="N19" s="80">
        <v>0</v>
      </c>
      <c r="O19" s="80">
        <v>0</v>
      </c>
      <c r="P19" s="80">
        <v>0</v>
      </c>
      <c r="Q19" s="80">
        <v>0</v>
      </c>
      <c r="R19" s="80">
        <v>0</v>
      </c>
      <c r="S19" s="80">
        <v>0</v>
      </c>
      <c r="T19" s="80">
        <v>0</v>
      </c>
      <c r="U19" s="80">
        <v>0</v>
      </c>
      <c r="V19" s="80">
        <v>0</v>
      </c>
    </row>
    <row r="20" spans="1:22">
      <c r="A20" s="116">
        <v>9</v>
      </c>
      <c r="B20" s="397" t="s">
        <v>920</v>
      </c>
      <c r="C20" s="80">
        <v>0</v>
      </c>
      <c r="D20" s="80">
        <v>0</v>
      </c>
      <c r="E20" s="80">
        <v>0</v>
      </c>
      <c r="F20" s="80">
        <v>0</v>
      </c>
      <c r="G20" s="80">
        <v>0</v>
      </c>
      <c r="H20" s="80">
        <v>0</v>
      </c>
      <c r="I20" s="80">
        <v>0</v>
      </c>
      <c r="J20" s="80">
        <v>0</v>
      </c>
      <c r="K20" s="80">
        <v>0</v>
      </c>
      <c r="L20" s="80">
        <v>0</v>
      </c>
      <c r="M20" s="80">
        <v>0</v>
      </c>
      <c r="N20" s="80">
        <v>0</v>
      </c>
      <c r="O20" s="80">
        <v>0</v>
      </c>
      <c r="P20" s="80">
        <v>0</v>
      </c>
      <c r="Q20" s="80">
        <v>0</v>
      </c>
      <c r="R20" s="80">
        <v>0</v>
      </c>
      <c r="S20" s="80">
        <v>0</v>
      </c>
      <c r="T20" s="80">
        <v>0</v>
      </c>
      <c r="U20" s="80">
        <v>0</v>
      </c>
      <c r="V20" s="80">
        <v>0</v>
      </c>
    </row>
    <row r="21" spans="1:22">
      <c r="A21" s="116">
        <v>10</v>
      </c>
      <c r="B21" s="397" t="s">
        <v>921</v>
      </c>
      <c r="C21" s="80">
        <v>0</v>
      </c>
      <c r="D21" s="80">
        <v>0</v>
      </c>
      <c r="E21" s="80">
        <v>0</v>
      </c>
      <c r="F21" s="80">
        <v>0</v>
      </c>
      <c r="G21" s="80">
        <v>0</v>
      </c>
      <c r="H21" s="80">
        <v>0</v>
      </c>
      <c r="I21" s="80">
        <v>0</v>
      </c>
      <c r="J21" s="80">
        <v>0</v>
      </c>
      <c r="K21" s="80">
        <v>0</v>
      </c>
      <c r="L21" s="80">
        <v>0</v>
      </c>
      <c r="M21" s="80">
        <v>0</v>
      </c>
      <c r="N21" s="80">
        <v>0</v>
      </c>
      <c r="O21" s="80">
        <v>0</v>
      </c>
      <c r="P21" s="80">
        <v>0</v>
      </c>
      <c r="Q21" s="80">
        <v>0</v>
      </c>
      <c r="R21" s="80">
        <v>0</v>
      </c>
      <c r="S21" s="80">
        <v>0</v>
      </c>
      <c r="T21" s="80">
        <v>0</v>
      </c>
      <c r="U21" s="80">
        <v>0</v>
      </c>
      <c r="V21" s="80">
        <v>0</v>
      </c>
    </row>
    <row r="22" spans="1:22">
      <c r="A22" s="116">
        <v>11</v>
      </c>
      <c r="B22" s="397" t="s">
        <v>922</v>
      </c>
      <c r="C22" s="80">
        <v>0</v>
      </c>
      <c r="D22" s="80">
        <v>0</v>
      </c>
      <c r="E22" s="80">
        <v>0</v>
      </c>
      <c r="F22" s="80">
        <v>0</v>
      </c>
      <c r="G22" s="80">
        <v>0</v>
      </c>
      <c r="H22" s="80">
        <v>0</v>
      </c>
      <c r="I22" s="80">
        <v>0</v>
      </c>
      <c r="J22" s="80">
        <v>0</v>
      </c>
      <c r="K22" s="80">
        <v>0</v>
      </c>
      <c r="L22" s="80">
        <v>0</v>
      </c>
      <c r="M22" s="80">
        <v>0</v>
      </c>
      <c r="N22" s="80">
        <v>0</v>
      </c>
      <c r="O22" s="80">
        <v>0</v>
      </c>
      <c r="P22" s="80">
        <v>0</v>
      </c>
      <c r="Q22" s="80">
        <v>0</v>
      </c>
      <c r="R22" s="80">
        <v>0</v>
      </c>
      <c r="S22" s="80">
        <v>0</v>
      </c>
      <c r="T22" s="80">
        <v>0</v>
      </c>
      <c r="U22" s="80">
        <v>0</v>
      </c>
      <c r="V22" s="80">
        <v>0</v>
      </c>
    </row>
    <row r="23" spans="1:22">
      <c r="A23" s="116">
        <v>12</v>
      </c>
      <c r="B23" s="397" t="s">
        <v>923</v>
      </c>
      <c r="C23" s="80">
        <v>0</v>
      </c>
      <c r="D23" s="80">
        <v>0</v>
      </c>
      <c r="E23" s="80">
        <v>0</v>
      </c>
      <c r="F23" s="80">
        <v>0</v>
      </c>
      <c r="G23" s="80">
        <v>0</v>
      </c>
      <c r="H23" s="80">
        <v>0</v>
      </c>
      <c r="I23" s="80">
        <v>0</v>
      </c>
      <c r="J23" s="80">
        <v>0</v>
      </c>
      <c r="K23" s="80">
        <v>0</v>
      </c>
      <c r="L23" s="80">
        <v>0</v>
      </c>
      <c r="M23" s="80">
        <v>0</v>
      </c>
      <c r="N23" s="80">
        <v>0</v>
      </c>
      <c r="O23" s="80">
        <v>0</v>
      </c>
      <c r="P23" s="80">
        <v>0</v>
      </c>
      <c r="Q23" s="80">
        <v>0</v>
      </c>
      <c r="R23" s="80">
        <v>0</v>
      </c>
      <c r="S23" s="80">
        <v>0</v>
      </c>
      <c r="T23" s="80">
        <v>0</v>
      </c>
      <c r="U23" s="80">
        <v>0</v>
      </c>
      <c r="V23" s="80">
        <v>0</v>
      </c>
    </row>
    <row r="24" spans="1:22">
      <c r="A24" s="116">
        <v>13</v>
      </c>
      <c r="B24" s="397" t="s">
        <v>924</v>
      </c>
      <c r="C24" s="80">
        <v>0</v>
      </c>
      <c r="D24" s="80">
        <v>0</v>
      </c>
      <c r="E24" s="80">
        <v>0</v>
      </c>
      <c r="F24" s="80">
        <v>0</v>
      </c>
      <c r="G24" s="80">
        <v>0</v>
      </c>
      <c r="H24" s="80">
        <v>0</v>
      </c>
      <c r="I24" s="80">
        <v>0</v>
      </c>
      <c r="J24" s="80">
        <v>0</v>
      </c>
      <c r="K24" s="80">
        <v>0</v>
      </c>
      <c r="L24" s="80">
        <v>0</v>
      </c>
      <c r="M24" s="80">
        <v>0</v>
      </c>
      <c r="N24" s="80">
        <v>0</v>
      </c>
      <c r="O24" s="80">
        <v>0</v>
      </c>
      <c r="P24" s="80">
        <v>0</v>
      </c>
      <c r="Q24" s="80">
        <v>0</v>
      </c>
      <c r="R24" s="80">
        <v>0</v>
      </c>
      <c r="S24" s="80">
        <v>0</v>
      </c>
      <c r="T24" s="80">
        <v>0</v>
      </c>
      <c r="U24" s="80">
        <v>0</v>
      </c>
      <c r="V24" s="80">
        <v>0</v>
      </c>
    </row>
    <row r="25" spans="1:22">
      <c r="A25" s="116">
        <v>14</v>
      </c>
      <c r="B25" s="397" t="s">
        <v>925</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row>
    <row r="26" spans="1:22">
      <c r="A26" s="116">
        <v>15</v>
      </c>
      <c r="B26" s="397" t="s">
        <v>926</v>
      </c>
      <c r="C26" s="80">
        <v>0</v>
      </c>
      <c r="D26" s="80">
        <v>0</v>
      </c>
      <c r="E26" s="80">
        <v>0</v>
      </c>
      <c r="F26" s="80">
        <v>0</v>
      </c>
      <c r="G26" s="80">
        <v>0</v>
      </c>
      <c r="H26" s="80">
        <v>0</v>
      </c>
      <c r="I26" s="80">
        <v>0</v>
      </c>
      <c r="J26" s="80">
        <v>0</v>
      </c>
      <c r="K26" s="80">
        <v>0</v>
      </c>
      <c r="L26" s="80">
        <v>0</v>
      </c>
      <c r="M26" s="80">
        <v>0</v>
      </c>
      <c r="N26" s="80">
        <v>0</v>
      </c>
      <c r="O26" s="80">
        <v>0</v>
      </c>
      <c r="P26" s="80">
        <v>0</v>
      </c>
      <c r="Q26" s="80">
        <v>0</v>
      </c>
      <c r="R26" s="80">
        <v>0</v>
      </c>
      <c r="S26" s="80">
        <v>0</v>
      </c>
      <c r="T26" s="80">
        <v>0</v>
      </c>
      <c r="U26" s="80">
        <v>0</v>
      </c>
      <c r="V26" s="80">
        <v>0</v>
      </c>
    </row>
    <row r="27" spans="1:22">
      <c r="A27" s="116">
        <v>16</v>
      </c>
      <c r="B27" s="397" t="s">
        <v>927</v>
      </c>
      <c r="C27" s="80">
        <v>0</v>
      </c>
      <c r="D27" s="80">
        <v>0</v>
      </c>
      <c r="E27" s="80">
        <v>0</v>
      </c>
      <c r="F27" s="80">
        <v>0</v>
      </c>
      <c r="G27" s="80">
        <v>0</v>
      </c>
      <c r="H27" s="80">
        <v>0</v>
      </c>
      <c r="I27" s="80">
        <v>0</v>
      </c>
      <c r="J27" s="80">
        <v>0</v>
      </c>
      <c r="K27" s="80">
        <v>0</v>
      </c>
      <c r="L27" s="80">
        <v>0</v>
      </c>
      <c r="M27" s="80">
        <v>0</v>
      </c>
      <c r="N27" s="80">
        <v>0</v>
      </c>
      <c r="O27" s="80">
        <v>0</v>
      </c>
      <c r="P27" s="80">
        <v>0</v>
      </c>
      <c r="Q27" s="80">
        <v>0</v>
      </c>
      <c r="R27" s="80">
        <v>0</v>
      </c>
      <c r="S27" s="80">
        <v>0</v>
      </c>
      <c r="T27" s="80">
        <v>0</v>
      </c>
      <c r="U27" s="80">
        <v>0</v>
      </c>
      <c r="V27" s="80">
        <v>0</v>
      </c>
    </row>
    <row r="28" spans="1:22">
      <c r="A28" s="116">
        <v>17</v>
      </c>
      <c r="B28" s="397" t="s">
        <v>928</v>
      </c>
      <c r="C28" s="80">
        <v>0</v>
      </c>
      <c r="D28" s="80">
        <v>0</v>
      </c>
      <c r="E28" s="80">
        <v>0</v>
      </c>
      <c r="F28" s="80">
        <v>0</v>
      </c>
      <c r="G28" s="80">
        <v>0</v>
      </c>
      <c r="H28" s="80">
        <v>0</v>
      </c>
      <c r="I28" s="80">
        <v>0</v>
      </c>
      <c r="J28" s="80">
        <v>0</v>
      </c>
      <c r="K28" s="80">
        <v>0</v>
      </c>
      <c r="L28" s="80">
        <v>0</v>
      </c>
      <c r="M28" s="80">
        <v>0</v>
      </c>
      <c r="N28" s="80">
        <v>0</v>
      </c>
      <c r="O28" s="80">
        <v>0</v>
      </c>
      <c r="P28" s="80">
        <v>0</v>
      </c>
      <c r="Q28" s="80">
        <v>0</v>
      </c>
      <c r="R28" s="80">
        <v>0</v>
      </c>
      <c r="S28" s="80">
        <v>0</v>
      </c>
      <c r="T28" s="80">
        <v>0</v>
      </c>
      <c r="U28" s="80">
        <v>0</v>
      </c>
      <c r="V28" s="80">
        <v>0</v>
      </c>
    </row>
    <row r="29" spans="1:22">
      <c r="A29" s="116">
        <v>18</v>
      </c>
      <c r="B29" s="398" t="s">
        <v>929</v>
      </c>
      <c r="C29" s="80">
        <v>0</v>
      </c>
      <c r="D29" s="80">
        <v>0</v>
      </c>
      <c r="E29" s="80">
        <v>0</v>
      </c>
      <c r="F29" s="80">
        <v>0</v>
      </c>
      <c r="G29" s="80">
        <v>0</v>
      </c>
      <c r="H29" s="80">
        <v>0</v>
      </c>
      <c r="I29" s="80">
        <v>0</v>
      </c>
      <c r="J29" s="80">
        <v>0</v>
      </c>
      <c r="K29" s="80">
        <v>0</v>
      </c>
      <c r="L29" s="80">
        <v>0</v>
      </c>
      <c r="M29" s="80">
        <v>0</v>
      </c>
      <c r="N29" s="80">
        <v>0</v>
      </c>
      <c r="O29" s="80">
        <v>0</v>
      </c>
      <c r="P29" s="80">
        <v>0</v>
      </c>
      <c r="Q29" s="80">
        <v>0</v>
      </c>
      <c r="R29" s="80">
        <v>0</v>
      </c>
      <c r="S29" s="80">
        <v>0</v>
      </c>
      <c r="T29" s="80">
        <v>0</v>
      </c>
      <c r="U29" s="80">
        <v>0</v>
      </c>
      <c r="V29" s="80">
        <v>0</v>
      </c>
    </row>
    <row r="30" spans="1:22">
      <c r="A30" s="116">
        <v>19</v>
      </c>
      <c r="B30" s="397" t="s">
        <v>930</v>
      </c>
      <c r="C30" s="80">
        <v>0</v>
      </c>
      <c r="D30" s="80">
        <v>0</v>
      </c>
      <c r="E30" s="80">
        <v>0</v>
      </c>
      <c r="F30" s="80">
        <v>0</v>
      </c>
      <c r="G30" s="80">
        <v>0</v>
      </c>
      <c r="H30" s="80">
        <v>0</v>
      </c>
      <c r="I30" s="80">
        <v>0</v>
      </c>
      <c r="J30" s="80">
        <v>0</v>
      </c>
      <c r="K30" s="80">
        <v>0</v>
      </c>
      <c r="L30" s="80">
        <v>0</v>
      </c>
      <c r="M30" s="80">
        <v>0</v>
      </c>
      <c r="N30" s="80">
        <v>0</v>
      </c>
      <c r="O30" s="80">
        <v>0</v>
      </c>
      <c r="P30" s="80">
        <v>0</v>
      </c>
      <c r="Q30" s="80">
        <v>0</v>
      </c>
      <c r="R30" s="80">
        <v>0</v>
      </c>
      <c r="S30" s="80">
        <v>0</v>
      </c>
      <c r="T30" s="80">
        <v>0</v>
      </c>
      <c r="U30" s="80">
        <v>0</v>
      </c>
      <c r="V30" s="80">
        <v>0</v>
      </c>
    </row>
    <row r="31" spans="1:22">
      <c r="A31" s="116">
        <v>20</v>
      </c>
      <c r="B31" s="398" t="s">
        <v>931</v>
      </c>
      <c r="C31" s="80">
        <v>0</v>
      </c>
      <c r="D31" s="80">
        <v>0</v>
      </c>
      <c r="E31" s="80">
        <v>0</v>
      </c>
      <c r="F31" s="80">
        <v>0</v>
      </c>
      <c r="G31" s="80">
        <v>0</v>
      </c>
      <c r="H31" s="80">
        <v>0</v>
      </c>
      <c r="I31" s="80">
        <v>0</v>
      </c>
      <c r="J31" s="80">
        <v>0</v>
      </c>
      <c r="K31" s="80">
        <v>0</v>
      </c>
      <c r="L31" s="80">
        <v>0</v>
      </c>
      <c r="M31" s="80">
        <v>0</v>
      </c>
      <c r="N31" s="80">
        <v>0</v>
      </c>
      <c r="O31" s="80">
        <v>0</v>
      </c>
      <c r="P31" s="80">
        <v>0</v>
      </c>
      <c r="Q31" s="80">
        <v>0</v>
      </c>
      <c r="R31" s="80">
        <v>0</v>
      </c>
      <c r="S31" s="80">
        <v>0</v>
      </c>
      <c r="T31" s="80">
        <v>0</v>
      </c>
      <c r="U31" s="80">
        <v>0</v>
      </c>
      <c r="V31" s="80">
        <v>0</v>
      </c>
    </row>
    <row r="32" spans="1:22">
      <c r="A32" s="116">
        <v>21</v>
      </c>
      <c r="B32" s="397" t="s">
        <v>932</v>
      </c>
      <c r="C32" s="80">
        <v>0</v>
      </c>
      <c r="D32" s="80">
        <v>0</v>
      </c>
      <c r="E32" s="80">
        <v>0</v>
      </c>
      <c r="F32" s="80">
        <v>0</v>
      </c>
      <c r="G32" s="80">
        <v>0</v>
      </c>
      <c r="H32" s="80">
        <v>0</v>
      </c>
      <c r="I32" s="80">
        <v>0</v>
      </c>
      <c r="J32" s="80">
        <v>0</v>
      </c>
      <c r="K32" s="80">
        <v>0</v>
      </c>
      <c r="L32" s="80">
        <v>0</v>
      </c>
      <c r="M32" s="80">
        <v>0</v>
      </c>
      <c r="N32" s="80">
        <v>0</v>
      </c>
      <c r="O32" s="80">
        <v>0</v>
      </c>
      <c r="P32" s="80">
        <v>0</v>
      </c>
      <c r="Q32" s="80">
        <v>0</v>
      </c>
      <c r="R32" s="80">
        <v>0</v>
      </c>
      <c r="S32" s="80">
        <v>0</v>
      </c>
      <c r="T32" s="80">
        <v>0</v>
      </c>
      <c r="U32" s="80">
        <v>0</v>
      </c>
      <c r="V32" s="80">
        <v>0</v>
      </c>
    </row>
    <row r="33" spans="1:48">
      <c r="A33" s="116">
        <v>22</v>
      </c>
      <c r="B33" s="397" t="s">
        <v>933</v>
      </c>
      <c r="C33" s="80">
        <v>0</v>
      </c>
      <c r="D33" s="80">
        <v>0</v>
      </c>
      <c r="E33" s="80">
        <v>0</v>
      </c>
      <c r="F33" s="80">
        <v>0</v>
      </c>
      <c r="G33" s="80">
        <v>0</v>
      </c>
      <c r="H33" s="80">
        <v>0</v>
      </c>
      <c r="I33" s="80">
        <v>0</v>
      </c>
      <c r="J33" s="80">
        <v>0</v>
      </c>
      <c r="K33" s="80">
        <v>0</v>
      </c>
      <c r="L33" s="80">
        <v>0</v>
      </c>
      <c r="M33" s="80">
        <v>0</v>
      </c>
      <c r="N33" s="80">
        <v>0</v>
      </c>
      <c r="O33" s="80">
        <v>0</v>
      </c>
      <c r="P33" s="80">
        <v>0</v>
      </c>
      <c r="Q33" s="80">
        <v>0</v>
      </c>
      <c r="R33" s="80">
        <v>0</v>
      </c>
      <c r="S33" s="80">
        <v>0</v>
      </c>
      <c r="T33" s="80">
        <v>0</v>
      </c>
      <c r="U33" s="80">
        <v>0</v>
      </c>
      <c r="V33" s="80">
        <v>0</v>
      </c>
    </row>
    <row r="34" spans="1:48">
      <c r="A34" s="116">
        <v>23</v>
      </c>
      <c r="B34" s="397" t="s">
        <v>934</v>
      </c>
      <c r="C34" s="80">
        <v>0</v>
      </c>
      <c r="D34" s="80">
        <v>0</v>
      </c>
      <c r="E34" s="80">
        <v>0</v>
      </c>
      <c r="F34" s="80">
        <v>0</v>
      </c>
      <c r="G34" s="80">
        <v>0</v>
      </c>
      <c r="H34" s="80">
        <v>0</v>
      </c>
      <c r="I34" s="80">
        <v>0</v>
      </c>
      <c r="J34" s="80">
        <v>0</v>
      </c>
      <c r="K34" s="80">
        <v>0</v>
      </c>
      <c r="L34" s="80">
        <v>0</v>
      </c>
      <c r="M34" s="80">
        <v>0</v>
      </c>
      <c r="N34" s="80">
        <v>0</v>
      </c>
      <c r="O34" s="80">
        <v>0</v>
      </c>
      <c r="P34" s="80">
        <v>0</v>
      </c>
      <c r="Q34" s="80">
        <v>0</v>
      </c>
      <c r="R34" s="80">
        <v>0</v>
      </c>
      <c r="S34" s="80">
        <v>0</v>
      </c>
      <c r="T34" s="80">
        <v>0</v>
      </c>
      <c r="U34" s="80">
        <v>0</v>
      </c>
      <c r="V34" s="80">
        <v>0</v>
      </c>
    </row>
    <row r="35" spans="1:48">
      <c r="A35" s="116">
        <v>24</v>
      </c>
      <c r="B35" s="397" t="s">
        <v>935</v>
      </c>
      <c r="C35" s="80">
        <v>0</v>
      </c>
      <c r="D35" s="80">
        <v>0</v>
      </c>
      <c r="E35" s="80">
        <v>0</v>
      </c>
      <c r="F35" s="80">
        <v>0</v>
      </c>
      <c r="G35" s="80">
        <v>0</v>
      </c>
      <c r="H35" s="80">
        <v>0</v>
      </c>
      <c r="I35" s="80">
        <v>0</v>
      </c>
      <c r="J35" s="80">
        <v>0</v>
      </c>
      <c r="K35" s="80">
        <v>0</v>
      </c>
      <c r="L35" s="80">
        <v>0</v>
      </c>
      <c r="M35" s="80">
        <v>0</v>
      </c>
      <c r="N35" s="80">
        <v>0</v>
      </c>
      <c r="O35" s="80">
        <v>0</v>
      </c>
      <c r="P35" s="80">
        <v>0</v>
      </c>
      <c r="Q35" s="80">
        <v>0</v>
      </c>
      <c r="R35" s="80">
        <v>0</v>
      </c>
      <c r="S35" s="80">
        <v>0</v>
      </c>
      <c r="T35" s="80">
        <v>0</v>
      </c>
      <c r="U35" s="80">
        <v>0</v>
      </c>
      <c r="V35" s="80">
        <v>0</v>
      </c>
    </row>
    <row r="36" spans="1:48">
      <c r="A36" s="116">
        <v>25</v>
      </c>
      <c r="B36" s="397" t="s">
        <v>936</v>
      </c>
      <c r="C36" s="80">
        <v>0</v>
      </c>
      <c r="D36" s="80">
        <v>0</v>
      </c>
      <c r="E36" s="80">
        <v>0</v>
      </c>
      <c r="F36" s="80">
        <v>0</v>
      </c>
      <c r="G36" s="80">
        <v>0</v>
      </c>
      <c r="H36" s="80">
        <v>0</v>
      </c>
      <c r="I36" s="80">
        <v>0</v>
      </c>
      <c r="J36" s="80">
        <v>0</v>
      </c>
      <c r="K36" s="80">
        <v>0</v>
      </c>
      <c r="L36" s="80">
        <v>0</v>
      </c>
      <c r="M36" s="80">
        <v>0</v>
      </c>
      <c r="N36" s="80">
        <v>0</v>
      </c>
      <c r="O36" s="80">
        <v>0</v>
      </c>
      <c r="P36" s="80">
        <v>0</v>
      </c>
      <c r="Q36" s="80">
        <v>0</v>
      </c>
      <c r="R36" s="80">
        <v>0</v>
      </c>
      <c r="S36" s="80">
        <v>0</v>
      </c>
      <c r="T36" s="80">
        <v>0</v>
      </c>
      <c r="U36" s="80">
        <v>0</v>
      </c>
      <c r="V36" s="80">
        <v>0</v>
      </c>
    </row>
    <row r="37" spans="1:48">
      <c r="A37" s="116">
        <v>26</v>
      </c>
      <c r="B37" s="397" t="s">
        <v>937</v>
      </c>
      <c r="C37" s="80">
        <v>0</v>
      </c>
      <c r="D37" s="80">
        <v>0</v>
      </c>
      <c r="E37" s="80">
        <v>0</v>
      </c>
      <c r="F37" s="80">
        <v>0</v>
      </c>
      <c r="G37" s="80">
        <v>0</v>
      </c>
      <c r="H37" s="80">
        <v>0</v>
      </c>
      <c r="I37" s="80">
        <v>0</v>
      </c>
      <c r="J37" s="80">
        <v>0</v>
      </c>
      <c r="K37" s="80">
        <v>0</v>
      </c>
      <c r="L37" s="80">
        <v>0</v>
      </c>
      <c r="M37" s="80">
        <v>0</v>
      </c>
      <c r="N37" s="80">
        <v>0</v>
      </c>
      <c r="O37" s="80">
        <v>0</v>
      </c>
      <c r="P37" s="80">
        <v>0</v>
      </c>
      <c r="Q37" s="80">
        <v>0</v>
      </c>
      <c r="R37" s="80">
        <v>0</v>
      </c>
      <c r="S37" s="80">
        <v>0</v>
      </c>
      <c r="T37" s="80">
        <v>0</v>
      </c>
      <c r="U37" s="80">
        <v>0</v>
      </c>
      <c r="V37" s="80">
        <v>0</v>
      </c>
    </row>
    <row r="38" spans="1:48">
      <c r="A38" s="116">
        <v>27</v>
      </c>
      <c r="B38" s="397" t="s">
        <v>938</v>
      </c>
      <c r="C38" s="80">
        <v>0</v>
      </c>
      <c r="D38" s="80">
        <v>0</v>
      </c>
      <c r="E38" s="80">
        <v>0</v>
      </c>
      <c r="F38" s="80">
        <v>0</v>
      </c>
      <c r="G38" s="80">
        <v>0</v>
      </c>
      <c r="H38" s="80">
        <v>0</v>
      </c>
      <c r="I38" s="80">
        <v>0</v>
      </c>
      <c r="J38" s="80">
        <v>0</v>
      </c>
      <c r="K38" s="80">
        <v>0</v>
      </c>
      <c r="L38" s="80">
        <v>0</v>
      </c>
      <c r="M38" s="80">
        <v>0</v>
      </c>
      <c r="N38" s="80">
        <v>0</v>
      </c>
      <c r="O38" s="80">
        <v>0</v>
      </c>
      <c r="P38" s="80">
        <v>0</v>
      </c>
      <c r="Q38" s="80">
        <v>0</v>
      </c>
      <c r="R38" s="80">
        <v>0</v>
      </c>
      <c r="S38" s="80">
        <v>0</v>
      </c>
      <c r="T38" s="80">
        <v>0</v>
      </c>
      <c r="U38" s="80">
        <v>0</v>
      </c>
      <c r="V38" s="80">
        <v>0</v>
      </c>
    </row>
    <row r="39" spans="1:48">
      <c r="A39" s="116">
        <v>28</v>
      </c>
      <c r="B39" s="397" t="s">
        <v>939</v>
      </c>
      <c r="C39" s="80">
        <v>0</v>
      </c>
      <c r="D39" s="80">
        <v>0</v>
      </c>
      <c r="E39" s="80">
        <v>0</v>
      </c>
      <c r="F39" s="80">
        <v>0</v>
      </c>
      <c r="G39" s="80">
        <v>0</v>
      </c>
      <c r="H39" s="80">
        <v>0</v>
      </c>
      <c r="I39" s="80">
        <v>0</v>
      </c>
      <c r="J39" s="80">
        <v>0</v>
      </c>
      <c r="K39" s="80">
        <v>0</v>
      </c>
      <c r="L39" s="80">
        <v>0</v>
      </c>
      <c r="M39" s="80">
        <v>0</v>
      </c>
      <c r="N39" s="80">
        <v>0</v>
      </c>
      <c r="O39" s="80">
        <v>0</v>
      </c>
      <c r="P39" s="80">
        <v>0</v>
      </c>
      <c r="Q39" s="80">
        <v>0</v>
      </c>
      <c r="R39" s="80">
        <v>0</v>
      </c>
      <c r="S39" s="80">
        <v>0</v>
      </c>
      <c r="T39" s="80">
        <v>0</v>
      </c>
      <c r="U39" s="80">
        <v>0</v>
      </c>
      <c r="V39" s="80">
        <v>0</v>
      </c>
    </row>
    <row r="40" spans="1:48">
      <c r="A40" s="116">
        <v>29</v>
      </c>
      <c r="B40" s="397" t="s">
        <v>940</v>
      </c>
      <c r="C40" s="80">
        <v>0</v>
      </c>
      <c r="D40" s="80">
        <v>0</v>
      </c>
      <c r="E40" s="80">
        <v>0</v>
      </c>
      <c r="F40" s="80">
        <v>0</v>
      </c>
      <c r="G40" s="80">
        <v>0</v>
      </c>
      <c r="H40" s="80">
        <v>0</v>
      </c>
      <c r="I40" s="80">
        <v>0</v>
      </c>
      <c r="J40" s="80">
        <v>0</v>
      </c>
      <c r="K40" s="80">
        <v>0</v>
      </c>
      <c r="L40" s="80">
        <v>0</v>
      </c>
      <c r="M40" s="80">
        <v>0</v>
      </c>
      <c r="N40" s="80">
        <v>0</v>
      </c>
      <c r="O40" s="80">
        <v>0</v>
      </c>
      <c r="P40" s="80">
        <v>0</v>
      </c>
      <c r="Q40" s="80">
        <v>0</v>
      </c>
      <c r="R40" s="80">
        <v>0</v>
      </c>
      <c r="S40" s="80">
        <v>0</v>
      </c>
      <c r="T40" s="80">
        <v>0</v>
      </c>
      <c r="U40" s="80">
        <v>0</v>
      </c>
      <c r="V40" s="80">
        <v>0</v>
      </c>
    </row>
    <row r="41" spans="1:48">
      <c r="A41" s="116">
        <v>30</v>
      </c>
      <c r="B41" s="397" t="s">
        <v>941</v>
      </c>
      <c r="C41" s="80">
        <v>0</v>
      </c>
      <c r="D41" s="80">
        <v>0</v>
      </c>
      <c r="E41" s="80">
        <v>0</v>
      </c>
      <c r="F41" s="80">
        <v>0</v>
      </c>
      <c r="G41" s="80">
        <v>0</v>
      </c>
      <c r="H41" s="80">
        <v>0</v>
      </c>
      <c r="I41" s="80">
        <v>0</v>
      </c>
      <c r="J41" s="80">
        <v>0</v>
      </c>
      <c r="K41" s="80">
        <v>0</v>
      </c>
      <c r="L41" s="80">
        <v>0</v>
      </c>
      <c r="M41" s="80">
        <v>0</v>
      </c>
      <c r="N41" s="80">
        <v>0</v>
      </c>
      <c r="O41" s="80">
        <v>0</v>
      </c>
      <c r="P41" s="80">
        <v>0</v>
      </c>
      <c r="Q41" s="80">
        <v>0</v>
      </c>
      <c r="R41" s="80">
        <v>0</v>
      </c>
      <c r="S41" s="80">
        <v>0</v>
      </c>
      <c r="T41" s="80">
        <v>0</v>
      </c>
      <c r="U41" s="80">
        <v>0</v>
      </c>
      <c r="V41" s="80">
        <v>0</v>
      </c>
    </row>
    <row r="42" spans="1:48">
      <c r="A42" s="116">
        <v>31</v>
      </c>
      <c r="B42" s="397" t="s">
        <v>942</v>
      </c>
      <c r="C42" s="80">
        <v>0</v>
      </c>
      <c r="D42" s="80">
        <v>0</v>
      </c>
      <c r="E42" s="80">
        <v>0</v>
      </c>
      <c r="F42" s="80">
        <v>0</v>
      </c>
      <c r="G42" s="80">
        <v>0</v>
      </c>
      <c r="H42" s="80">
        <v>0</v>
      </c>
      <c r="I42" s="80">
        <v>0</v>
      </c>
      <c r="J42" s="80">
        <v>0</v>
      </c>
      <c r="K42" s="80">
        <v>0</v>
      </c>
      <c r="L42" s="80">
        <v>0</v>
      </c>
      <c r="M42" s="80">
        <v>0</v>
      </c>
      <c r="N42" s="80">
        <v>0</v>
      </c>
      <c r="O42" s="80">
        <v>0</v>
      </c>
      <c r="P42" s="80">
        <v>0</v>
      </c>
      <c r="Q42" s="80">
        <v>0</v>
      </c>
      <c r="R42" s="80">
        <v>0</v>
      </c>
      <c r="S42" s="80">
        <v>0</v>
      </c>
      <c r="T42" s="80">
        <v>0</v>
      </c>
      <c r="U42" s="80">
        <v>0</v>
      </c>
      <c r="V42" s="80">
        <v>0</v>
      </c>
    </row>
    <row r="43" spans="1:48">
      <c r="A43" s="116">
        <v>32</v>
      </c>
      <c r="B43" s="397" t="s">
        <v>943</v>
      </c>
      <c r="C43" s="80">
        <v>0</v>
      </c>
      <c r="D43" s="80">
        <v>0</v>
      </c>
      <c r="E43" s="80">
        <v>0</v>
      </c>
      <c r="F43" s="80">
        <v>0</v>
      </c>
      <c r="G43" s="80">
        <v>0</v>
      </c>
      <c r="H43" s="80">
        <v>0</v>
      </c>
      <c r="I43" s="80">
        <v>0</v>
      </c>
      <c r="J43" s="80">
        <v>0</v>
      </c>
      <c r="K43" s="80">
        <v>0</v>
      </c>
      <c r="L43" s="80">
        <v>0</v>
      </c>
      <c r="M43" s="80">
        <v>0</v>
      </c>
      <c r="N43" s="80">
        <v>0</v>
      </c>
      <c r="O43" s="80">
        <v>0</v>
      </c>
      <c r="P43" s="80">
        <v>0</v>
      </c>
      <c r="Q43" s="80">
        <v>0</v>
      </c>
      <c r="R43" s="80">
        <v>0</v>
      </c>
      <c r="S43" s="80">
        <v>0</v>
      </c>
      <c r="T43" s="80">
        <v>0</v>
      </c>
      <c r="U43" s="80">
        <v>0</v>
      </c>
      <c r="V43" s="80">
        <v>0</v>
      </c>
    </row>
    <row r="44" spans="1:48" s="80" customFormat="1">
      <c r="A44" s="116">
        <v>33</v>
      </c>
      <c r="B44" s="397" t="s">
        <v>944</v>
      </c>
      <c r="C44" s="80">
        <v>0</v>
      </c>
      <c r="D44" s="80">
        <v>0</v>
      </c>
      <c r="E44" s="80">
        <v>0</v>
      </c>
      <c r="F44" s="80">
        <v>0</v>
      </c>
      <c r="G44" s="80">
        <v>0</v>
      </c>
      <c r="H44" s="80">
        <v>0</v>
      </c>
      <c r="I44" s="80">
        <v>0</v>
      </c>
      <c r="J44" s="80">
        <v>0</v>
      </c>
      <c r="K44" s="80">
        <v>0</v>
      </c>
      <c r="L44" s="80">
        <v>0</v>
      </c>
      <c r="M44" s="80">
        <v>0</v>
      </c>
      <c r="N44" s="80">
        <v>0</v>
      </c>
      <c r="O44" s="80">
        <v>0</v>
      </c>
      <c r="P44" s="80">
        <v>0</v>
      </c>
      <c r="Q44" s="80">
        <v>0</v>
      </c>
      <c r="R44" s="80">
        <v>0</v>
      </c>
      <c r="S44" s="80">
        <v>0</v>
      </c>
      <c r="T44" s="80">
        <v>0</v>
      </c>
      <c r="U44" s="80">
        <v>0</v>
      </c>
      <c r="V44" s="80">
        <v>0</v>
      </c>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row>
    <row r="45" spans="1:48">
      <c r="A45" s="116">
        <v>34</v>
      </c>
      <c r="B45" s="397" t="s">
        <v>945</v>
      </c>
      <c r="C45" s="80">
        <v>0</v>
      </c>
      <c r="D45" s="80">
        <v>0</v>
      </c>
      <c r="E45" s="80">
        <v>0</v>
      </c>
      <c r="F45" s="80">
        <v>0</v>
      </c>
      <c r="G45" s="80">
        <v>0</v>
      </c>
      <c r="H45" s="80">
        <v>0</v>
      </c>
      <c r="I45" s="80">
        <v>0</v>
      </c>
      <c r="J45" s="80">
        <v>0</v>
      </c>
      <c r="K45" s="80">
        <v>0</v>
      </c>
      <c r="L45" s="80">
        <v>0</v>
      </c>
      <c r="M45" s="80">
        <v>0</v>
      </c>
      <c r="N45" s="80">
        <v>0</v>
      </c>
      <c r="O45" s="80">
        <v>0</v>
      </c>
      <c r="P45" s="80">
        <v>0</v>
      </c>
      <c r="Q45" s="80">
        <v>0</v>
      </c>
      <c r="R45" s="80">
        <v>0</v>
      </c>
      <c r="S45" s="80">
        <v>0</v>
      </c>
      <c r="T45" s="80">
        <v>0</v>
      </c>
      <c r="U45" s="80">
        <v>0</v>
      </c>
      <c r="V45" s="80">
        <v>0</v>
      </c>
    </row>
    <row r="46" spans="1:48">
      <c r="A46" s="285" t="s">
        <v>17</v>
      </c>
      <c r="B46" s="80"/>
      <c r="C46" s="282">
        <v>0</v>
      </c>
      <c r="D46" s="282">
        <v>0</v>
      </c>
      <c r="E46" s="282">
        <v>0</v>
      </c>
      <c r="F46" s="282">
        <v>0</v>
      </c>
      <c r="G46" s="282">
        <v>0</v>
      </c>
      <c r="H46" s="282">
        <v>0</v>
      </c>
      <c r="I46" s="282">
        <v>0</v>
      </c>
      <c r="J46" s="282">
        <v>0</v>
      </c>
      <c r="K46" s="282">
        <v>0</v>
      </c>
      <c r="L46" s="282">
        <v>0</v>
      </c>
      <c r="M46" s="282">
        <v>0</v>
      </c>
      <c r="N46" s="282">
        <v>0</v>
      </c>
      <c r="O46" s="282">
        <v>0</v>
      </c>
      <c r="P46" s="282">
        <v>0</v>
      </c>
      <c r="Q46" s="282">
        <v>0</v>
      </c>
      <c r="R46" s="282">
        <v>0</v>
      </c>
      <c r="S46" s="282">
        <v>0</v>
      </c>
      <c r="T46" s="282">
        <v>0</v>
      </c>
      <c r="U46" s="282">
        <v>0</v>
      </c>
      <c r="V46" s="282">
        <v>0</v>
      </c>
    </row>
    <row r="50" spans="1:22" ht="15" customHeight="1">
      <c r="A50" s="803"/>
      <c r="B50" s="803"/>
      <c r="C50" s="803"/>
      <c r="D50" s="1133" t="s">
        <v>906</v>
      </c>
      <c r="E50" s="1133"/>
      <c r="F50" s="1133"/>
      <c r="G50" s="1133"/>
      <c r="H50" s="14"/>
      <c r="I50" s="464"/>
      <c r="J50" s="774"/>
      <c r="K50" s="14"/>
      <c r="L50" s="14"/>
      <c r="M50" s="14"/>
      <c r="N50" s="14"/>
      <c r="O50" s="14"/>
      <c r="P50" s="14"/>
      <c r="Q50" s="14"/>
      <c r="R50" s="804" t="s">
        <v>12</v>
      </c>
      <c r="S50" s="804"/>
      <c r="T50" s="804"/>
      <c r="U50" s="804"/>
      <c r="V50" s="804"/>
    </row>
    <row r="51" spans="1:22">
      <c r="A51" s="804"/>
      <c r="B51" s="804"/>
      <c r="C51" s="804"/>
      <c r="D51" s="1148" t="s">
        <v>907</v>
      </c>
      <c r="E51" s="1148"/>
      <c r="F51" s="1148"/>
      <c r="G51" s="1148"/>
      <c r="H51" s="464"/>
      <c r="I51" s="464"/>
      <c r="J51" s="774"/>
      <c r="L51" s="33"/>
      <c r="M51" s="33"/>
      <c r="N51" s="33"/>
      <c r="O51" s="33"/>
      <c r="P51" s="33"/>
      <c r="Q51" s="33"/>
      <c r="R51" s="803" t="s">
        <v>13</v>
      </c>
      <c r="S51" s="803"/>
      <c r="T51" s="803"/>
      <c r="U51" s="803"/>
      <c r="V51" s="803"/>
    </row>
    <row r="52" spans="1:22">
      <c r="A52" s="804"/>
      <c r="B52" s="804"/>
      <c r="C52" s="804"/>
      <c r="D52" s="1148" t="s">
        <v>908</v>
      </c>
      <c r="E52" s="1148"/>
      <c r="F52" s="1148"/>
      <c r="G52" s="1148"/>
      <c r="H52" s="464"/>
      <c r="I52" s="464"/>
      <c r="K52" s="33"/>
      <c r="L52" s="33"/>
      <c r="M52" s="33"/>
      <c r="N52" s="33"/>
      <c r="O52" s="33"/>
      <c r="P52" s="33"/>
      <c r="Q52" s="33"/>
      <c r="R52" s="803" t="s">
        <v>87</v>
      </c>
      <c r="S52" s="803"/>
      <c r="T52" s="803"/>
      <c r="U52" s="803"/>
      <c r="V52" s="803"/>
    </row>
    <row r="53" spans="1:22">
      <c r="A53" s="278" t="s">
        <v>11</v>
      </c>
      <c r="B53" s="14"/>
      <c r="C53" s="464"/>
      <c r="D53" s="464"/>
      <c r="E53" s="464"/>
      <c r="F53" s="464"/>
      <c r="G53" s="464"/>
      <c r="H53" s="464"/>
      <c r="I53" s="464"/>
      <c r="J53" s="464"/>
      <c r="K53" s="14"/>
      <c r="L53" s="14"/>
      <c r="M53" s="14"/>
      <c r="N53" s="14"/>
      <c r="O53" s="14"/>
      <c r="P53" s="14"/>
      <c r="Q53" s="803" t="s">
        <v>84</v>
      </c>
      <c r="R53" s="803"/>
      <c r="S53" s="803"/>
      <c r="T53" s="803"/>
      <c r="U53" s="803"/>
      <c r="V53" s="803"/>
    </row>
  </sheetData>
  <mergeCells count="30">
    <mergeCell ref="O9:O10"/>
    <mergeCell ref="P9:R9"/>
    <mergeCell ref="S9:S10"/>
    <mergeCell ref="T9:V9"/>
    <mergeCell ref="U1:V1"/>
    <mergeCell ref="E2:P2"/>
    <mergeCell ref="C4:Q4"/>
    <mergeCell ref="O8:R8"/>
    <mergeCell ref="S8:V8"/>
    <mergeCell ref="A8:A10"/>
    <mergeCell ref="B8:B10"/>
    <mergeCell ref="C8:F8"/>
    <mergeCell ref="G8:J8"/>
    <mergeCell ref="K8:N8"/>
    <mergeCell ref="C9:C10"/>
    <mergeCell ref="D9:F9"/>
    <mergeCell ref="G9:G10"/>
    <mergeCell ref="H9:J9"/>
    <mergeCell ref="K9:K10"/>
    <mergeCell ref="L9:N9"/>
    <mergeCell ref="Q53:V53"/>
    <mergeCell ref="A50:C50"/>
    <mergeCell ref="A51:C51"/>
    <mergeCell ref="A52:C52"/>
    <mergeCell ref="D50:G50"/>
    <mergeCell ref="D51:G51"/>
    <mergeCell ref="D52:G52"/>
    <mergeCell ref="R52:V52"/>
    <mergeCell ref="R51:V51"/>
    <mergeCell ref="R50:V50"/>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68.xml><?xml version="1.0" encoding="utf-8"?>
<worksheet xmlns="http://schemas.openxmlformats.org/spreadsheetml/2006/main" xmlns:r="http://schemas.openxmlformats.org/officeDocument/2006/relationships">
  <sheetPr codeName="Sheet68">
    <pageSetUpPr fitToPage="1"/>
  </sheetPr>
  <dimension ref="A1:V53"/>
  <sheetViews>
    <sheetView topLeftCell="H23" zoomScale="90" zoomScaleNormal="90" zoomScaleSheetLayoutView="90" workbookViewId="0">
      <selection activeCell="C29" sqref="C29:W29"/>
    </sheetView>
  </sheetViews>
  <sheetFormatPr defaultRowHeight="15"/>
  <cols>
    <col min="1" max="1" width="9.140625" style="74"/>
    <col min="2" max="2" width="20.42578125" style="74" bestFit="1" customWidth="1"/>
    <col min="3" max="3" width="9.7109375" style="74" customWidth="1"/>
    <col min="4" max="4" width="8.140625" style="74" customWidth="1"/>
    <col min="5" max="5" width="7.42578125" style="74" customWidth="1"/>
    <col min="6" max="6" width="9.140625" style="74" customWidth="1"/>
    <col min="7" max="7" width="9.5703125" style="74" customWidth="1"/>
    <col min="8" max="8" width="8.140625" style="74" customWidth="1"/>
    <col min="9" max="9" width="6.85546875" style="74" customWidth="1"/>
    <col min="10" max="10" width="9.28515625" style="74" customWidth="1"/>
    <col min="11" max="11" width="10.5703125" style="74" customWidth="1"/>
    <col min="12" max="12" width="8.7109375" style="74" customWidth="1"/>
    <col min="13" max="13" width="7.42578125" style="74" customWidth="1"/>
    <col min="14" max="14" width="8.5703125" style="74" customWidth="1"/>
    <col min="15" max="15" width="8.7109375" style="74" customWidth="1"/>
    <col min="16" max="16" width="8.5703125" style="74" customWidth="1"/>
    <col min="17" max="17" width="7.85546875" style="74" customWidth="1"/>
    <col min="18" max="18" width="8.5703125" style="74" customWidth="1"/>
    <col min="19" max="20" width="10.5703125" style="74" customWidth="1"/>
    <col min="21" max="21" width="11.140625" style="74" customWidth="1"/>
    <col min="22" max="22" width="10.7109375" style="74" bestFit="1" customWidth="1"/>
    <col min="23" max="16384" width="9.140625" style="74"/>
  </cols>
  <sheetData>
    <row r="1" spans="1:22" s="15" customFormat="1" ht="15.75">
      <c r="C1" s="42"/>
      <c r="D1" s="42"/>
      <c r="E1" s="42"/>
      <c r="F1" s="42"/>
      <c r="G1" s="42"/>
      <c r="H1" s="42"/>
      <c r="I1" s="106" t="s">
        <v>0</v>
      </c>
      <c r="J1" s="106"/>
      <c r="S1" s="38"/>
      <c r="T1" s="38"/>
      <c r="U1" s="919" t="s">
        <v>697</v>
      </c>
      <c r="V1" s="919"/>
    </row>
    <row r="2" spans="1:22" s="15" customFormat="1" ht="20.25">
      <c r="E2" s="848" t="s">
        <v>745</v>
      </c>
      <c r="F2" s="848"/>
      <c r="G2" s="848"/>
      <c r="H2" s="848"/>
      <c r="I2" s="848"/>
      <c r="J2" s="848"/>
      <c r="K2" s="848"/>
      <c r="L2" s="848"/>
      <c r="M2" s="848"/>
      <c r="N2" s="848"/>
      <c r="O2" s="848"/>
      <c r="P2" s="848"/>
    </row>
    <row r="3" spans="1:22" s="15" customFormat="1" ht="20.25">
      <c r="H3" s="41"/>
      <c r="I3" s="41"/>
      <c r="J3" s="41"/>
      <c r="K3" s="41"/>
      <c r="L3" s="41"/>
      <c r="M3" s="41"/>
      <c r="N3" s="41"/>
      <c r="O3" s="41"/>
      <c r="P3" s="41"/>
    </row>
    <row r="4" spans="1:22" ht="15.75">
      <c r="C4" s="849" t="s">
        <v>761</v>
      </c>
      <c r="D4" s="849"/>
      <c r="E4" s="849"/>
      <c r="F4" s="849"/>
      <c r="G4" s="849"/>
      <c r="H4" s="849"/>
      <c r="I4" s="849"/>
      <c r="J4" s="849"/>
      <c r="K4" s="849"/>
      <c r="L4" s="849"/>
      <c r="M4" s="849"/>
      <c r="N4" s="849"/>
      <c r="O4" s="849"/>
      <c r="P4" s="849"/>
      <c r="Q4" s="849"/>
      <c r="R4" s="44"/>
      <c r="S4" s="113"/>
      <c r="T4" s="113"/>
      <c r="U4" s="113"/>
      <c r="V4" s="113"/>
    </row>
    <row r="5" spans="1:22">
      <c r="C5" s="75"/>
      <c r="D5" s="75"/>
      <c r="E5" s="75"/>
      <c r="F5" s="75"/>
      <c r="G5" s="75"/>
      <c r="H5" s="75"/>
      <c r="M5" s="75"/>
      <c r="N5" s="75"/>
      <c r="O5" s="75"/>
      <c r="P5" s="75"/>
      <c r="Q5" s="75"/>
      <c r="R5" s="75"/>
      <c r="S5" s="75"/>
      <c r="T5" s="75"/>
      <c r="U5" s="75"/>
      <c r="V5" s="75"/>
    </row>
    <row r="6" spans="1:22">
      <c r="A6" s="78" t="s">
        <v>162</v>
      </c>
      <c r="B6" s="85"/>
    </row>
    <row r="7" spans="1:22">
      <c r="B7" s="317"/>
    </row>
    <row r="8" spans="1:22" s="78" customFormat="1" ht="24.75" customHeight="1">
      <c r="A8" s="834" t="s">
        <v>2</v>
      </c>
      <c r="B8" s="1161" t="s">
        <v>3</v>
      </c>
      <c r="C8" s="1162" t="s">
        <v>690</v>
      </c>
      <c r="D8" s="1163"/>
      <c r="E8" s="1163"/>
      <c r="F8" s="1163"/>
      <c r="G8" s="1162" t="s">
        <v>694</v>
      </c>
      <c r="H8" s="1163"/>
      <c r="I8" s="1163"/>
      <c r="J8" s="1163"/>
      <c r="K8" s="1162" t="s">
        <v>695</v>
      </c>
      <c r="L8" s="1163"/>
      <c r="M8" s="1163"/>
      <c r="N8" s="1163"/>
      <c r="O8" s="1162" t="s">
        <v>696</v>
      </c>
      <c r="P8" s="1163"/>
      <c r="Q8" s="1163"/>
      <c r="R8" s="1163"/>
      <c r="S8" s="1179" t="s">
        <v>17</v>
      </c>
      <c r="T8" s="1180"/>
      <c r="U8" s="1180"/>
      <c r="V8" s="1180"/>
    </row>
    <row r="9" spans="1:22" s="79" customFormat="1" ht="29.25" customHeight="1">
      <c r="A9" s="834"/>
      <c r="B9" s="1161"/>
      <c r="C9" s="1174" t="s">
        <v>691</v>
      </c>
      <c r="D9" s="1176" t="s">
        <v>693</v>
      </c>
      <c r="E9" s="1177"/>
      <c r="F9" s="1178"/>
      <c r="G9" s="1174" t="s">
        <v>691</v>
      </c>
      <c r="H9" s="1176" t="s">
        <v>693</v>
      </c>
      <c r="I9" s="1177"/>
      <c r="J9" s="1178"/>
      <c r="K9" s="1174" t="s">
        <v>691</v>
      </c>
      <c r="L9" s="1176" t="s">
        <v>693</v>
      </c>
      <c r="M9" s="1177"/>
      <c r="N9" s="1178"/>
      <c r="O9" s="1174" t="s">
        <v>691</v>
      </c>
      <c r="P9" s="1176" t="s">
        <v>693</v>
      </c>
      <c r="Q9" s="1177"/>
      <c r="R9" s="1178"/>
      <c r="S9" s="1174" t="s">
        <v>691</v>
      </c>
      <c r="T9" s="1176" t="s">
        <v>693</v>
      </c>
      <c r="U9" s="1177"/>
      <c r="V9" s="1178"/>
    </row>
    <row r="10" spans="1:22" s="79" customFormat="1" ht="46.5" customHeight="1">
      <c r="A10" s="834"/>
      <c r="B10" s="1161"/>
      <c r="C10" s="1175"/>
      <c r="D10" s="73" t="s">
        <v>692</v>
      </c>
      <c r="E10" s="73" t="s">
        <v>202</v>
      </c>
      <c r="F10" s="73" t="s">
        <v>17</v>
      </c>
      <c r="G10" s="1175"/>
      <c r="H10" s="73" t="s">
        <v>692</v>
      </c>
      <c r="I10" s="73" t="s">
        <v>202</v>
      </c>
      <c r="J10" s="73" t="s">
        <v>17</v>
      </c>
      <c r="K10" s="1175"/>
      <c r="L10" s="73" t="s">
        <v>692</v>
      </c>
      <c r="M10" s="73" t="s">
        <v>202</v>
      </c>
      <c r="N10" s="73" t="s">
        <v>17</v>
      </c>
      <c r="O10" s="1175"/>
      <c r="P10" s="73" t="s">
        <v>692</v>
      </c>
      <c r="Q10" s="73" t="s">
        <v>202</v>
      </c>
      <c r="R10" s="73" t="s">
        <v>17</v>
      </c>
      <c r="S10" s="1175"/>
      <c r="T10" s="73" t="s">
        <v>692</v>
      </c>
      <c r="U10" s="73" t="s">
        <v>202</v>
      </c>
      <c r="V10" s="73" t="s">
        <v>17</v>
      </c>
    </row>
    <row r="11" spans="1:22" s="151" customFormat="1" ht="16.149999999999999" customHeight="1">
      <c r="A11" s="318">
        <v>1</v>
      </c>
      <c r="B11" s="150">
        <v>2</v>
      </c>
      <c r="C11" s="150">
        <v>3</v>
      </c>
      <c r="D11" s="318">
        <v>4</v>
      </c>
      <c r="E11" s="150">
        <v>5</v>
      </c>
      <c r="F11" s="150">
        <v>6</v>
      </c>
      <c r="G11" s="318">
        <v>7</v>
      </c>
      <c r="H11" s="150">
        <v>8</v>
      </c>
      <c r="I11" s="150">
        <v>9</v>
      </c>
      <c r="J11" s="318">
        <v>10</v>
      </c>
      <c r="K11" s="150">
        <v>11</v>
      </c>
      <c r="L11" s="150">
        <v>12</v>
      </c>
      <c r="M11" s="318">
        <v>13</v>
      </c>
      <c r="N11" s="150">
        <v>14</v>
      </c>
      <c r="O11" s="150">
        <v>15</v>
      </c>
      <c r="P11" s="318">
        <v>16</v>
      </c>
      <c r="Q11" s="150">
        <v>17</v>
      </c>
      <c r="R11" s="150">
        <v>18</v>
      </c>
      <c r="S11" s="318">
        <v>19</v>
      </c>
      <c r="T11" s="150">
        <v>20</v>
      </c>
      <c r="U11" s="150">
        <v>21</v>
      </c>
      <c r="V11" s="318">
        <v>22</v>
      </c>
    </row>
    <row r="12" spans="1:22" s="151" customFormat="1" ht="16.149999999999999" customHeight="1">
      <c r="A12" s="678">
        <v>1</v>
      </c>
      <c r="B12" s="679" t="s">
        <v>1191</v>
      </c>
      <c r="C12" s="680">
        <v>1539</v>
      </c>
      <c r="D12" s="681">
        <f>ROUND(C12*6000/100000,2)</f>
        <v>92.34</v>
      </c>
      <c r="E12" s="681">
        <f>ROUND(C12*4000/100000,2)</f>
        <v>61.56</v>
      </c>
      <c r="F12" s="681">
        <f>D12+E12</f>
        <v>153.9</v>
      </c>
      <c r="G12" s="680">
        <v>0</v>
      </c>
      <c r="H12" s="681">
        <f>ROUND(G12*9000/100000,2)</f>
        <v>0</v>
      </c>
      <c r="I12" s="681">
        <f>ROUND(G12*6000/100000,2)</f>
        <v>0</v>
      </c>
      <c r="J12" s="681">
        <f>H12+I12</f>
        <v>0</v>
      </c>
      <c r="K12" s="680">
        <v>0</v>
      </c>
      <c r="L12" s="681">
        <f>ROUND(K12*12000/100000,2)</f>
        <v>0</v>
      </c>
      <c r="M12" s="681">
        <f>ROUND(K12*8000/100000,2)</f>
        <v>0</v>
      </c>
      <c r="N12" s="681">
        <f>L12+M12</f>
        <v>0</v>
      </c>
      <c r="O12" s="680">
        <v>0</v>
      </c>
      <c r="P12" s="681">
        <f>ROUND(O12*15000/100000,2)</f>
        <v>0</v>
      </c>
      <c r="Q12" s="681">
        <f>ROUND(O12*10000/100000,2)</f>
        <v>0</v>
      </c>
      <c r="R12" s="681">
        <f>P12+Q12</f>
        <v>0</v>
      </c>
      <c r="S12" s="680">
        <f>C12+G12+K12+O12</f>
        <v>1539</v>
      </c>
      <c r="T12" s="681">
        <f>D12+H12+L12+P12</f>
        <v>92.34</v>
      </c>
      <c r="U12" s="681">
        <f>E12+I12+M12+Q12</f>
        <v>61.56</v>
      </c>
      <c r="V12" s="681">
        <f>T12+U12</f>
        <v>153.9</v>
      </c>
    </row>
    <row r="13" spans="1:22" s="151" customFormat="1" ht="16.149999999999999" customHeight="1">
      <c r="A13" s="678">
        <v>2</v>
      </c>
      <c r="B13" s="679" t="s">
        <v>914</v>
      </c>
      <c r="C13" s="680">
        <v>0</v>
      </c>
      <c r="D13" s="681">
        <f t="shared" ref="D13:D44" si="0">ROUND(C13*6000/100000,2)</f>
        <v>0</v>
      </c>
      <c r="E13" s="681">
        <f t="shared" ref="E13:E44" si="1">ROUND(C13*4000/100000,2)</f>
        <v>0</v>
      </c>
      <c r="F13" s="681">
        <f t="shared" ref="F13:F44" si="2">D13+E13</f>
        <v>0</v>
      </c>
      <c r="G13" s="680">
        <v>8</v>
      </c>
      <c r="H13" s="681">
        <f t="shared" ref="H13:H44" si="3">ROUND(G13*9000/100000,2)</f>
        <v>0.72</v>
      </c>
      <c r="I13" s="681">
        <f t="shared" ref="I13:I44" si="4">ROUND(G13*6000/100000,2)</f>
        <v>0.48</v>
      </c>
      <c r="J13" s="681">
        <f t="shared" ref="J13:J44" si="5">H13+I13</f>
        <v>1.2</v>
      </c>
      <c r="K13" s="680">
        <v>0</v>
      </c>
      <c r="L13" s="681">
        <f t="shared" ref="L13:L44" si="6">ROUND(K13*12000/100000,2)</f>
        <v>0</v>
      </c>
      <c r="M13" s="681">
        <f t="shared" ref="M13:M44" si="7">ROUND(K13*8000/100000,2)</f>
        <v>0</v>
      </c>
      <c r="N13" s="681">
        <f t="shared" ref="N13:N44" si="8">L13+M13</f>
        <v>0</v>
      </c>
      <c r="O13" s="680">
        <v>0</v>
      </c>
      <c r="P13" s="681">
        <f t="shared" ref="P13:P44" si="9">ROUND(O13*15000/100000,2)</f>
        <v>0</v>
      </c>
      <c r="Q13" s="681">
        <f t="shared" ref="Q13:Q44" si="10">ROUND(O13*10000/100000,2)</f>
        <v>0</v>
      </c>
      <c r="R13" s="681">
        <f t="shared" ref="R13:R44" si="11">P13+Q13</f>
        <v>0</v>
      </c>
      <c r="S13" s="680">
        <f t="shared" ref="S13:U44" si="12">C13+G13+K13+O13</f>
        <v>8</v>
      </c>
      <c r="T13" s="681">
        <f t="shared" si="12"/>
        <v>0.72</v>
      </c>
      <c r="U13" s="681">
        <f t="shared" si="12"/>
        <v>0.48</v>
      </c>
      <c r="V13" s="681">
        <f t="shared" ref="V13:V44" si="13">T13+U13</f>
        <v>1.2</v>
      </c>
    </row>
    <row r="14" spans="1:22" s="151" customFormat="1" ht="16.149999999999999" customHeight="1">
      <c r="A14" s="678">
        <v>3</v>
      </c>
      <c r="B14" s="679" t="s">
        <v>915</v>
      </c>
      <c r="C14" s="680">
        <v>1</v>
      </c>
      <c r="D14" s="681">
        <f t="shared" si="0"/>
        <v>0.06</v>
      </c>
      <c r="E14" s="681">
        <f t="shared" si="1"/>
        <v>0.04</v>
      </c>
      <c r="F14" s="681">
        <f t="shared" si="2"/>
        <v>0.1</v>
      </c>
      <c r="G14" s="680">
        <v>8</v>
      </c>
      <c r="H14" s="681">
        <f t="shared" si="3"/>
        <v>0.72</v>
      </c>
      <c r="I14" s="681">
        <f t="shared" si="4"/>
        <v>0.48</v>
      </c>
      <c r="J14" s="681">
        <f t="shared" si="5"/>
        <v>1.2</v>
      </c>
      <c r="K14" s="680">
        <v>4</v>
      </c>
      <c r="L14" s="681">
        <f t="shared" si="6"/>
        <v>0.48</v>
      </c>
      <c r="M14" s="681">
        <f t="shared" si="7"/>
        <v>0.32</v>
      </c>
      <c r="N14" s="681">
        <f t="shared" si="8"/>
        <v>0.8</v>
      </c>
      <c r="O14" s="680">
        <v>0</v>
      </c>
      <c r="P14" s="681">
        <f t="shared" si="9"/>
        <v>0</v>
      </c>
      <c r="Q14" s="681">
        <f t="shared" si="10"/>
        <v>0</v>
      </c>
      <c r="R14" s="681">
        <f t="shared" si="11"/>
        <v>0</v>
      </c>
      <c r="S14" s="680">
        <f t="shared" si="12"/>
        <v>13</v>
      </c>
      <c r="T14" s="681">
        <f t="shared" si="12"/>
        <v>1.26</v>
      </c>
      <c r="U14" s="681">
        <f t="shared" si="12"/>
        <v>0.84000000000000008</v>
      </c>
      <c r="V14" s="681">
        <f t="shared" si="13"/>
        <v>2.1</v>
      </c>
    </row>
    <row r="15" spans="1:22" s="151" customFormat="1" ht="16.149999999999999" customHeight="1">
      <c r="A15" s="678">
        <v>4</v>
      </c>
      <c r="B15" s="679" t="s">
        <v>916</v>
      </c>
      <c r="C15" s="680">
        <v>30</v>
      </c>
      <c r="D15" s="681">
        <f t="shared" si="0"/>
        <v>1.8</v>
      </c>
      <c r="E15" s="681">
        <f t="shared" si="1"/>
        <v>1.2</v>
      </c>
      <c r="F15" s="681">
        <f t="shared" si="2"/>
        <v>3</v>
      </c>
      <c r="G15" s="680">
        <v>100</v>
      </c>
      <c r="H15" s="681">
        <f t="shared" si="3"/>
        <v>9</v>
      </c>
      <c r="I15" s="681">
        <f t="shared" si="4"/>
        <v>6</v>
      </c>
      <c r="J15" s="681">
        <f t="shared" si="5"/>
        <v>15</v>
      </c>
      <c r="K15" s="680">
        <v>100</v>
      </c>
      <c r="L15" s="681">
        <f t="shared" si="6"/>
        <v>12</v>
      </c>
      <c r="M15" s="681">
        <f t="shared" si="7"/>
        <v>8</v>
      </c>
      <c r="N15" s="681">
        <f t="shared" si="8"/>
        <v>20</v>
      </c>
      <c r="O15" s="680">
        <v>54</v>
      </c>
      <c r="P15" s="681">
        <f t="shared" si="9"/>
        <v>8.1</v>
      </c>
      <c r="Q15" s="681">
        <f t="shared" si="10"/>
        <v>5.4</v>
      </c>
      <c r="R15" s="681">
        <f t="shared" si="11"/>
        <v>13.5</v>
      </c>
      <c r="S15" s="680">
        <f t="shared" si="12"/>
        <v>284</v>
      </c>
      <c r="T15" s="681">
        <f t="shared" si="12"/>
        <v>30.9</v>
      </c>
      <c r="U15" s="681">
        <f t="shared" si="12"/>
        <v>20.6</v>
      </c>
      <c r="V15" s="681">
        <f t="shared" si="13"/>
        <v>51.5</v>
      </c>
    </row>
    <row r="16" spans="1:22" s="151" customFormat="1" ht="16.149999999999999" customHeight="1">
      <c r="A16" s="678">
        <v>5</v>
      </c>
      <c r="B16" s="679" t="s">
        <v>917</v>
      </c>
      <c r="C16" s="680">
        <v>0</v>
      </c>
      <c r="D16" s="681">
        <f t="shared" si="0"/>
        <v>0</v>
      </c>
      <c r="E16" s="681">
        <f t="shared" si="1"/>
        <v>0</v>
      </c>
      <c r="F16" s="681">
        <f t="shared" si="2"/>
        <v>0</v>
      </c>
      <c r="G16" s="680">
        <v>2</v>
      </c>
      <c r="H16" s="681">
        <f t="shared" si="3"/>
        <v>0.18</v>
      </c>
      <c r="I16" s="681">
        <f t="shared" si="4"/>
        <v>0.12</v>
      </c>
      <c r="J16" s="681">
        <f t="shared" si="5"/>
        <v>0.3</v>
      </c>
      <c r="K16" s="680">
        <v>0</v>
      </c>
      <c r="L16" s="681">
        <f t="shared" si="6"/>
        <v>0</v>
      </c>
      <c r="M16" s="681">
        <f t="shared" si="7"/>
        <v>0</v>
      </c>
      <c r="N16" s="681">
        <f t="shared" si="8"/>
        <v>0</v>
      </c>
      <c r="O16" s="680">
        <v>0</v>
      </c>
      <c r="P16" s="681">
        <f t="shared" si="9"/>
        <v>0</v>
      </c>
      <c r="Q16" s="681">
        <f t="shared" si="10"/>
        <v>0</v>
      </c>
      <c r="R16" s="681">
        <f t="shared" si="11"/>
        <v>0</v>
      </c>
      <c r="S16" s="680">
        <f t="shared" si="12"/>
        <v>2</v>
      </c>
      <c r="T16" s="681">
        <f t="shared" si="12"/>
        <v>0.18</v>
      </c>
      <c r="U16" s="681">
        <f t="shared" si="12"/>
        <v>0.12</v>
      </c>
      <c r="V16" s="681">
        <f t="shared" si="13"/>
        <v>0.3</v>
      </c>
    </row>
    <row r="17" spans="1:22" s="151" customFormat="1" ht="16.149999999999999" customHeight="1">
      <c r="A17" s="678">
        <v>6</v>
      </c>
      <c r="B17" s="679" t="s">
        <v>918</v>
      </c>
      <c r="C17" s="680">
        <v>50</v>
      </c>
      <c r="D17" s="681">
        <f t="shared" si="0"/>
        <v>3</v>
      </c>
      <c r="E17" s="681">
        <f t="shared" si="1"/>
        <v>2</v>
      </c>
      <c r="F17" s="681">
        <f t="shared" si="2"/>
        <v>5</v>
      </c>
      <c r="G17" s="680">
        <v>353</v>
      </c>
      <c r="H17" s="681">
        <f t="shared" si="3"/>
        <v>31.77</v>
      </c>
      <c r="I17" s="681">
        <f t="shared" si="4"/>
        <v>21.18</v>
      </c>
      <c r="J17" s="681">
        <f t="shared" si="5"/>
        <v>52.95</v>
      </c>
      <c r="K17" s="680">
        <v>430</v>
      </c>
      <c r="L17" s="681">
        <f t="shared" si="6"/>
        <v>51.6</v>
      </c>
      <c r="M17" s="681">
        <f t="shared" si="7"/>
        <v>34.4</v>
      </c>
      <c r="N17" s="681">
        <f t="shared" si="8"/>
        <v>86</v>
      </c>
      <c r="O17" s="680">
        <v>55</v>
      </c>
      <c r="P17" s="681">
        <f t="shared" si="9"/>
        <v>8.25</v>
      </c>
      <c r="Q17" s="681">
        <f t="shared" si="10"/>
        <v>5.5</v>
      </c>
      <c r="R17" s="681">
        <f t="shared" si="11"/>
        <v>13.75</v>
      </c>
      <c r="S17" s="680">
        <f t="shared" si="12"/>
        <v>888</v>
      </c>
      <c r="T17" s="681">
        <f t="shared" si="12"/>
        <v>94.62</v>
      </c>
      <c r="U17" s="681">
        <f t="shared" si="12"/>
        <v>63.08</v>
      </c>
      <c r="V17" s="681">
        <f t="shared" si="13"/>
        <v>157.69999999999999</v>
      </c>
    </row>
    <row r="18" spans="1:22" s="151" customFormat="1" ht="16.149999999999999" customHeight="1">
      <c r="A18" s="678">
        <v>7</v>
      </c>
      <c r="B18" s="679" t="s">
        <v>919</v>
      </c>
      <c r="C18" s="680">
        <v>0</v>
      </c>
      <c r="D18" s="681">
        <f t="shared" si="0"/>
        <v>0</v>
      </c>
      <c r="E18" s="681">
        <f t="shared" si="1"/>
        <v>0</v>
      </c>
      <c r="F18" s="681">
        <f t="shared" si="2"/>
        <v>0</v>
      </c>
      <c r="G18" s="680">
        <v>1</v>
      </c>
      <c r="H18" s="681">
        <f t="shared" si="3"/>
        <v>0.09</v>
      </c>
      <c r="I18" s="681">
        <f t="shared" si="4"/>
        <v>0.06</v>
      </c>
      <c r="J18" s="681">
        <f t="shared" si="5"/>
        <v>0.15</v>
      </c>
      <c r="K18" s="680">
        <v>0</v>
      </c>
      <c r="L18" s="681">
        <f t="shared" si="6"/>
        <v>0</v>
      </c>
      <c r="M18" s="681">
        <f t="shared" si="7"/>
        <v>0</v>
      </c>
      <c r="N18" s="681">
        <f t="shared" si="8"/>
        <v>0</v>
      </c>
      <c r="O18" s="680">
        <v>0</v>
      </c>
      <c r="P18" s="681">
        <f t="shared" si="9"/>
        <v>0</v>
      </c>
      <c r="Q18" s="681">
        <f t="shared" si="10"/>
        <v>0</v>
      </c>
      <c r="R18" s="681">
        <f t="shared" si="11"/>
        <v>0</v>
      </c>
      <c r="S18" s="680">
        <f t="shared" si="12"/>
        <v>1</v>
      </c>
      <c r="T18" s="681">
        <f t="shared" si="12"/>
        <v>0.09</v>
      </c>
      <c r="U18" s="681">
        <f t="shared" si="12"/>
        <v>0.06</v>
      </c>
      <c r="V18" s="681">
        <f t="shared" si="13"/>
        <v>0.15</v>
      </c>
    </row>
    <row r="19" spans="1:22" s="151" customFormat="1" ht="16.149999999999999" customHeight="1">
      <c r="A19" s="678">
        <v>8</v>
      </c>
      <c r="B19" s="679" t="s">
        <v>920</v>
      </c>
      <c r="C19" s="680">
        <v>40</v>
      </c>
      <c r="D19" s="681">
        <f t="shared" si="0"/>
        <v>2.4</v>
      </c>
      <c r="E19" s="681">
        <f t="shared" si="1"/>
        <v>1.6</v>
      </c>
      <c r="F19" s="681">
        <f t="shared" si="2"/>
        <v>4</v>
      </c>
      <c r="G19" s="680">
        <v>300</v>
      </c>
      <c r="H19" s="681">
        <f t="shared" si="3"/>
        <v>27</v>
      </c>
      <c r="I19" s="681">
        <f t="shared" si="4"/>
        <v>18</v>
      </c>
      <c r="J19" s="681">
        <f t="shared" si="5"/>
        <v>45</v>
      </c>
      <c r="K19" s="680">
        <v>325</v>
      </c>
      <c r="L19" s="681">
        <f t="shared" si="6"/>
        <v>39</v>
      </c>
      <c r="M19" s="681">
        <f t="shared" si="7"/>
        <v>26</v>
      </c>
      <c r="N19" s="681">
        <f t="shared" si="8"/>
        <v>65</v>
      </c>
      <c r="O19" s="680">
        <v>77</v>
      </c>
      <c r="P19" s="681">
        <f t="shared" si="9"/>
        <v>11.55</v>
      </c>
      <c r="Q19" s="681">
        <f t="shared" si="10"/>
        <v>7.7</v>
      </c>
      <c r="R19" s="681">
        <f t="shared" si="11"/>
        <v>19.25</v>
      </c>
      <c r="S19" s="680">
        <f t="shared" si="12"/>
        <v>742</v>
      </c>
      <c r="T19" s="681">
        <f t="shared" si="12"/>
        <v>79.95</v>
      </c>
      <c r="U19" s="681">
        <f t="shared" si="12"/>
        <v>53.300000000000004</v>
      </c>
      <c r="V19" s="681">
        <f t="shared" si="13"/>
        <v>133.25</v>
      </c>
    </row>
    <row r="20" spans="1:22" s="151" customFormat="1" ht="16.149999999999999" customHeight="1">
      <c r="A20" s="678">
        <v>9</v>
      </c>
      <c r="B20" s="679" t="s">
        <v>921</v>
      </c>
      <c r="C20" s="680">
        <v>10</v>
      </c>
      <c r="D20" s="681">
        <f t="shared" si="0"/>
        <v>0.6</v>
      </c>
      <c r="E20" s="681">
        <f t="shared" si="1"/>
        <v>0.4</v>
      </c>
      <c r="F20" s="681">
        <f t="shared" si="2"/>
        <v>1</v>
      </c>
      <c r="G20" s="680">
        <v>60</v>
      </c>
      <c r="H20" s="681">
        <f t="shared" si="3"/>
        <v>5.4</v>
      </c>
      <c r="I20" s="681">
        <f t="shared" si="4"/>
        <v>3.6</v>
      </c>
      <c r="J20" s="681">
        <f t="shared" si="5"/>
        <v>9</v>
      </c>
      <c r="K20" s="680">
        <v>40</v>
      </c>
      <c r="L20" s="681">
        <f t="shared" si="6"/>
        <v>4.8</v>
      </c>
      <c r="M20" s="681">
        <f t="shared" si="7"/>
        <v>3.2</v>
      </c>
      <c r="N20" s="681">
        <f t="shared" si="8"/>
        <v>8</v>
      </c>
      <c r="O20" s="680">
        <v>16</v>
      </c>
      <c r="P20" s="681">
        <f t="shared" si="9"/>
        <v>2.4</v>
      </c>
      <c r="Q20" s="681">
        <f t="shared" si="10"/>
        <v>1.6</v>
      </c>
      <c r="R20" s="681">
        <f t="shared" si="11"/>
        <v>4</v>
      </c>
      <c r="S20" s="680">
        <f t="shared" si="12"/>
        <v>126</v>
      </c>
      <c r="T20" s="681">
        <f t="shared" si="12"/>
        <v>13.200000000000001</v>
      </c>
      <c r="U20" s="681">
        <f t="shared" si="12"/>
        <v>8.8000000000000007</v>
      </c>
      <c r="V20" s="681">
        <f t="shared" si="13"/>
        <v>22</v>
      </c>
    </row>
    <row r="21" spans="1:22" s="151" customFormat="1" ht="16.149999999999999" customHeight="1">
      <c r="A21" s="678">
        <v>10</v>
      </c>
      <c r="B21" s="679" t="s">
        <v>922</v>
      </c>
      <c r="C21" s="680">
        <v>10</v>
      </c>
      <c r="D21" s="681">
        <v>0</v>
      </c>
      <c r="E21" s="681">
        <f t="shared" si="1"/>
        <v>0.4</v>
      </c>
      <c r="F21" s="681">
        <f t="shared" si="2"/>
        <v>0.4</v>
      </c>
      <c r="G21" s="680">
        <v>60</v>
      </c>
      <c r="H21" s="681">
        <f t="shared" si="3"/>
        <v>5.4</v>
      </c>
      <c r="I21" s="681">
        <f t="shared" si="4"/>
        <v>3.6</v>
      </c>
      <c r="J21" s="681">
        <f t="shared" si="5"/>
        <v>9</v>
      </c>
      <c r="K21" s="680">
        <v>40</v>
      </c>
      <c r="L21" s="681">
        <f t="shared" si="6"/>
        <v>4.8</v>
      </c>
      <c r="M21" s="681">
        <f t="shared" si="7"/>
        <v>3.2</v>
      </c>
      <c r="N21" s="681">
        <f t="shared" si="8"/>
        <v>8</v>
      </c>
      <c r="O21" s="680">
        <v>15</v>
      </c>
      <c r="P21" s="681">
        <f t="shared" si="9"/>
        <v>2.25</v>
      </c>
      <c r="Q21" s="681">
        <f t="shared" si="10"/>
        <v>1.5</v>
      </c>
      <c r="R21" s="681">
        <f t="shared" si="11"/>
        <v>3.75</v>
      </c>
      <c r="S21" s="680">
        <f t="shared" si="12"/>
        <v>125</v>
      </c>
      <c r="T21" s="681">
        <f t="shared" si="12"/>
        <v>12.45</v>
      </c>
      <c r="U21" s="681">
        <f t="shared" si="12"/>
        <v>8.6999999999999993</v>
      </c>
      <c r="V21" s="681">
        <f t="shared" si="13"/>
        <v>21.15</v>
      </c>
    </row>
    <row r="22" spans="1:22" s="151" customFormat="1" ht="16.149999999999999" customHeight="1">
      <c r="A22" s="678">
        <v>11</v>
      </c>
      <c r="B22" s="679" t="s">
        <v>923</v>
      </c>
      <c r="C22" s="680">
        <v>0</v>
      </c>
      <c r="D22" s="681">
        <f t="shared" si="0"/>
        <v>0</v>
      </c>
      <c r="E22" s="681">
        <f t="shared" si="1"/>
        <v>0</v>
      </c>
      <c r="F22" s="681">
        <f t="shared" si="2"/>
        <v>0</v>
      </c>
      <c r="G22" s="680">
        <v>16</v>
      </c>
      <c r="H22" s="681">
        <f t="shared" si="3"/>
        <v>1.44</v>
      </c>
      <c r="I22" s="681">
        <f t="shared" si="4"/>
        <v>0.96</v>
      </c>
      <c r="J22" s="681">
        <f t="shared" si="5"/>
        <v>2.4</v>
      </c>
      <c r="K22" s="680">
        <v>0</v>
      </c>
      <c r="L22" s="681">
        <f t="shared" si="6"/>
        <v>0</v>
      </c>
      <c r="M22" s="681">
        <f t="shared" si="7"/>
        <v>0</v>
      </c>
      <c r="N22" s="681">
        <f t="shared" si="8"/>
        <v>0</v>
      </c>
      <c r="O22" s="680">
        <v>0</v>
      </c>
      <c r="P22" s="681">
        <f t="shared" si="9"/>
        <v>0</v>
      </c>
      <c r="Q22" s="681">
        <f t="shared" si="10"/>
        <v>0</v>
      </c>
      <c r="R22" s="681">
        <f t="shared" si="11"/>
        <v>0</v>
      </c>
      <c r="S22" s="680">
        <f t="shared" si="12"/>
        <v>16</v>
      </c>
      <c r="T22" s="681">
        <f t="shared" si="12"/>
        <v>1.44</v>
      </c>
      <c r="U22" s="681">
        <f t="shared" si="12"/>
        <v>0.96</v>
      </c>
      <c r="V22" s="681">
        <f t="shared" si="13"/>
        <v>2.4</v>
      </c>
    </row>
    <row r="23" spans="1:22" s="151" customFormat="1" ht="16.149999999999999" customHeight="1">
      <c r="A23" s="678">
        <v>12</v>
      </c>
      <c r="B23" s="679" t="s">
        <v>924</v>
      </c>
      <c r="C23" s="680">
        <v>0</v>
      </c>
      <c r="D23" s="681">
        <f t="shared" si="0"/>
        <v>0</v>
      </c>
      <c r="E23" s="681">
        <f t="shared" si="1"/>
        <v>0</v>
      </c>
      <c r="F23" s="681">
        <f t="shared" si="2"/>
        <v>0</v>
      </c>
      <c r="G23" s="680">
        <v>36</v>
      </c>
      <c r="H23" s="681">
        <f t="shared" si="3"/>
        <v>3.24</v>
      </c>
      <c r="I23" s="681">
        <f t="shared" si="4"/>
        <v>2.16</v>
      </c>
      <c r="J23" s="681">
        <f t="shared" si="5"/>
        <v>5.4</v>
      </c>
      <c r="K23" s="680">
        <v>0</v>
      </c>
      <c r="L23" s="681">
        <f t="shared" si="6"/>
        <v>0</v>
      </c>
      <c r="M23" s="681">
        <f t="shared" si="7"/>
        <v>0</v>
      </c>
      <c r="N23" s="681">
        <f t="shared" si="8"/>
        <v>0</v>
      </c>
      <c r="O23" s="680">
        <v>0</v>
      </c>
      <c r="P23" s="681">
        <f t="shared" si="9"/>
        <v>0</v>
      </c>
      <c r="Q23" s="681">
        <f t="shared" si="10"/>
        <v>0</v>
      </c>
      <c r="R23" s="681">
        <f t="shared" si="11"/>
        <v>0</v>
      </c>
      <c r="S23" s="680">
        <f t="shared" si="12"/>
        <v>36</v>
      </c>
      <c r="T23" s="681">
        <f t="shared" si="12"/>
        <v>3.24</v>
      </c>
      <c r="U23" s="681">
        <f t="shared" si="12"/>
        <v>2.16</v>
      </c>
      <c r="V23" s="681">
        <f t="shared" si="13"/>
        <v>5.4</v>
      </c>
    </row>
    <row r="24" spans="1:22" s="151" customFormat="1" ht="16.149999999999999" customHeight="1">
      <c r="A24" s="678">
        <v>13</v>
      </c>
      <c r="B24" s="679" t="s">
        <v>925</v>
      </c>
      <c r="C24" s="680">
        <v>0</v>
      </c>
      <c r="D24" s="681">
        <f t="shared" si="0"/>
        <v>0</v>
      </c>
      <c r="E24" s="681">
        <f t="shared" si="1"/>
        <v>0</v>
      </c>
      <c r="F24" s="681">
        <f t="shared" si="2"/>
        <v>0</v>
      </c>
      <c r="G24" s="680">
        <v>11</v>
      </c>
      <c r="H24" s="681">
        <f t="shared" si="3"/>
        <v>0.99</v>
      </c>
      <c r="I24" s="681">
        <f t="shared" si="4"/>
        <v>0.66</v>
      </c>
      <c r="J24" s="681">
        <f t="shared" si="5"/>
        <v>1.65</v>
      </c>
      <c r="K24" s="680">
        <v>0</v>
      </c>
      <c r="L24" s="681">
        <f t="shared" si="6"/>
        <v>0</v>
      </c>
      <c r="M24" s="681">
        <f t="shared" si="7"/>
        <v>0</v>
      </c>
      <c r="N24" s="681">
        <f t="shared" si="8"/>
        <v>0</v>
      </c>
      <c r="O24" s="680">
        <v>0</v>
      </c>
      <c r="P24" s="681">
        <f t="shared" si="9"/>
        <v>0</v>
      </c>
      <c r="Q24" s="681">
        <f t="shared" si="10"/>
        <v>0</v>
      </c>
      <c r="R24" s="681">
        <f t="shared" si="11"/>
        <v>0</v>
      </c>
      <c r="S24" s="680">
        <f t="shared" si="12"/>
        <v>11</v>
      </c>
      <c r="T24" s="681">
        <f t="shared" si="12"/>
        <v>0.99</v>
      </c>
      <c r="U24" s="681">
        <f t="shared" si="12"/>
        <v>0.66</v>
      </c>
      <c r="V24" s="681">
        <f t="shared" si="13"/>
        <v>1.65</v>
      </c>
    </row>
    <row r="25" spans="1:22" s="151" customFormat="1" ht="16.149999999999999" customHeight="1">
      <c r="A25" s="678">
        <v>14</v>
      </c>
      <c r="B25" s="679" t="s">
        <v>926</v>
      </c>
      <c r="C25" s="680">
        <v>0</v>
      </c>
      <c r="D25" s="681">
        <f t="shared" si="0"/>
        <v>0</v>
      </c>
      <c r="E25" s="681">
        <f t="shared" si="1"/>
        <v>0</v>
      </c>
      <c r="F25" s="681">
        <f t="shared" si="2"/>
        <v>0</v>
      </c>
      <c r="G25" s="680">
        <v>3</v>
      </c>
      <c r="H25" s="681">
        <f t="shared" si="3"/>
        <v>0.27</v>
      </c>
      <c r="I25" s="681">
        <f t="shared" si="4"/>
        <v>0.18</v>
      </c>
      <c r="J25" s="681">
        <f t="shared" si="5"/>
        <v>0.45</v>
      </c>
      <c r="K25" s="680">
        <v>0</v>
      </c>
      <c r="L25" s="681">
        <f t="shared" si="6"/>
        <v>0</v>
      </c>
      <c r="M25" s="681">
        <f t="shared" si="7"/>
        <v>0</v>
      </c>
      <c r="N25" s="681">
        <f t="shared" si="8"/>
        <v>0</v>
      </c>
      <c r="O25" s="680">
        <v>0</v>
      </c>
      <c r="P25" s="681">
        <f t="shared" si="9"/>
        <v>0</v>
      </c>
      <c r="Q25" s="681">
        <f t="shared" si="10"/>
        <v>0</v>
      </c>
      <c r="R25" s="681">
        <f t="shared" si="11"/>
        <v>0</v>
      </c>
      <c r="S25" s="680">
        <f t="shared" si="12"/>
        <v>3</v>
      </c>
      <c r="T25" s="681">
        <f t="shared" si="12"/>
        <v>0.27</v>
      </c>
      <c r="U25" s="681">
        <f t="shared" si="12"/>
        <v>0.18</v>
      </c>
      <c r="V25" s="681">
        <f t="shared" si="13"/>
        <v>0.45</v>
      </c>
    </row>
    <row r="26" spans="1:22" s="151" customFormat="1" ht="16.149999999999999" customHeight="1">
      <c r="A26" s="678">
        <v>15</v>
      </c>
      <c r="B26" s="679" t="s">
        <v>927</v>
      </c>
      <c r="C26" s="680">
        <v>2</v>
      </c>
      <c r="D26" s="681">
        <f t="shared" si="0"/>
        <v>0.12</v>
      </c>
      <c r="E26" s="681">
        <f t="shared" si="1"/>
        <v>0.08</v>
      </c>
      <c r="F26" s="681">
        <f t="shared" si="2"/>
        <v>0.2</v>
      </c>
      <c r="G26" s="680">
        <v>14</v>
      </c>
      <c r="H26" s="681">
        <f t="shared" si="3"/>
        <v>1.26</v>
      </c>
      <c r="I26" s="681">
        <f t="shared" si="4"/>
        <v>0.84</v>
      </c>
      <c r="J26" s="681">
        <f t="shared" si="5"/>
        <v>2.1</v>
      </c>
      <c r="K26" s="680">
        <v>0</v>
      </c>
      <c r="L26" s="681">
        <f t="shared" si="6"/>
        <v>0</v>
      </c>
      <c r="M26" s="681">
        <f t="shared" si="7"/>
        <v>0</v>
      </c>
      <c r="N26" s="681">
        <f t="shared" si="8"/>
        <v>0</v>
      </c>
      <c r="O26" s="680">
        <v>0</v>
      </c>
      <c r="P26" s="681">
        <f t="shared" si="9"/>
        <v>0</v>
      </c>
      <c r="Q26" s="681">
        <f t="shared" si="10"/>
        <v>0</v>
      </c>
      <c r="R26" s="681">
        <f t="shared" si="11"/>
        <v>0</v>
      </c>
      <c r="S26" s="680">
        <f t="shared" si="12"/>
        <v>16</v>
      </c>
      <c r="T26" s="681">
        <f t="shared" si="12"/>
        <v>1.38</v>
      </c>
      <c r="U26" s="681">
        <f t="shared" si="12"/>
        <v>0.91999999999999993</v>
      </c>
      <c r="V26" s="681">
        <f t="shared" si="13"/>
        <v>2.2999999999999998</v>
      </c>
    </row>
    <row r="27" spans="1:22" s="151" customFormat="1" ht="16.149999999999999" customHeight="1">
      <c r="A27" s="678">
        <v>16</v>
      </c>
      <c r="B27" s="679" t="s">
        <v>928</v>
      </c>
      <c r="C27" s="680">
        <v>0</v>
      </c>
      <c r="D27" s="681">
        <f t="shared" si="0"/>
        <v>0</v>
      </c>
      <c r="E27" s="681">
        <f t="shared" si="1"/>
        <v>0</v>
      </c>
      <c r="F27" s="681">
        <f t="shared" si="2"/>
        <v>0</v>
      </c>
      <c r="G27" s="680">
        <v>1</v>
      </c>
      <c r="H27" s="681">
        <f t="shared" si="3"/>
        <v>0.09</v>
      </c>
      <c r="I27" s="681">
        <f t="shared" si="4"/>
        <v>0.06</v>
      </c>
      <c r="J27" s="681">
        <f t="shared" si="5"/>
        <v>0.15</v>
      </c>
      <c r="K27" s="680">
        <v>0</v>
      </c>
      <c r="L27" s="681">
        <f t="shared" si="6"/>
        <v>0</v>
      </c>
      <c r="M27" s="681">
        <f t="shared" si="7"/>
        <v>0</v>
      </c>
      <c r="N27" s="681">
        <f t="shared" si="8"/>
        <v>0</v>
      </c>
      <c r="O27" s="680">
        <v>0</v>
      </c>
      <c r="P27" s="681">
        <f t="shared" si="9"/>
        <v>0</v>
      </c>
      <c r="Q27" s="681">
        <f t="shared" si="10"/>
        <v>0</v>
      </c>
      <c r="R27" s="681">
        <f t="shared" si="11"/>
        <v>0</v>
      </c>
      <c r="S27" s="680">
        <f t="shared" si="12"/>
        <v>1</v>
      </c>
      <c r="T27" s="681">
        <f t="shared" si="12"/>
        <v>0.09</v>
      </c>
      <c r="U27" s="681">
        <f t="shared" si="12"/>
        <v>0.06</v>
      </c>
      <c r="V27" s="681">
        <f t="shared" si="13"/>
        <v>0.15</v>
      </c>
    </row>
    <row r="28" spans="1:22" s="151" customFormat="1" ht="16.149999999999999" customHeight="1">
      <c r="A28" s="678">
        <v>17</v>
      </c>
      <c r="B28" s="682" t="s">
        <v>929</v>
      </c>
      <c r="C28" s="683">
        <v>0</v>
      </c>
      <c r="D28" s="684">
        <f t="shared" si="0"/>
        <v>0</v>
      </c>
      <c r="E28" s="684">
        <f t="shared" si="1"/>
        <v>0</v>
      </c>
      <c r="F28" s="684">
        <f t="shared" si="2"/>
        <v>0</v>
      </c>
      <c r="G28" s="683">
        <v>1</v>
      </c>
      <c r="H28" s="684">
        <f t="shared" si="3"/>
        <v>0.09</v>
      </c>
      <c r="I28" s="684">
        <f t="shared" si="4"/>
        <v>0.06</v>
      </c>
      <c r="J28" s="684">
        <f t="shared" si="5"/>
        <v>0.15</v>
      </c>
      <c r="K28" s="683">
        <v>0</v>
      </c>
      <c r="L28" s="684">
        <f t="shared" si="6"/>
        <v>0</v>
      </c>
      <c r="M28" s="684">
        <f t="shared" si="7"/>
        <v>0</v>
      </c>
      <c r="N28" s="684">
        <f t="shared" si="8"/>
        <v>0</v>
      </c>
      <c r="O28" s="680">
        <v>0</v>
      </c>
      <c r="P28" s="681">
        <f t="shared" si="9"/>
        <v>0</v>
      </c>
      <c r="Q28" s="681">
        <f t="shared" si="10"/>
        <v>0</v>
      </c>
      <c r="R28" s="681">
        <f t="shared" si="11"/>
        <v>0</v>
      </c>
      <c r="S28" s="680">
        <f t="shared" si="12"/>
        <v>1</v>
      </c>
      <c r="T28" s="684">
        <f t="shared" si="12"/>
        <v>0.09</v>
      </c>
      <c r="U28" s="684">
        <f t="shared" si="12"/>
        <v>0.06</v>
      </c>
      <c r="V28" s="684">
        <f t="shared" si="13"/>
        <v>0.15</v>
      </c>
    </row>
    <row r="29" spans="1:22" s="151" customFormat="1" ht="16.149999999999999" customHeight="1">
      <c r="A29" s="678">
        <v>18</v>
      </c>
      <c r="B29" s="679" t="s">
        <v>930</v>
      </c>
      <c r="C29" s="683">
        <v>0</v>
      </c>
      <c r="D29" s="684">
        <f t="shared" si="0"/>
        <v>0</v>
      </c>
      <c r="E29" s="684">
        <f t="shared" si="1"/>
        <v>0</v>
      </c>
      <c r="F29" s="684">
        <f t="shared" si="2"/>
        <v>0</v>
      </c>
      <c r="G29" s="683">
        <v>0</v>
      </c>
      <c r="H29" s="684">
        <f t="shared" si="3"/>
        <v>0</v>
      </c>
      <c r="I29" s="684">
        <f t="shared" si="4"/>
        <v>0</v>
      </c>
      <c r="J29" s="684">
        <f t="shared" si="5"/>
        <v>0</v>
      </c>
      <c r="K29" s="683">
        <v>0</v>
      </c>
      <c r="L29" s="684">
        <f t="shared" si="6"/>
        <v>0</v>
      </c>
      <c r="M29" s="684">
        <f t="shared" si="7"/>
        <v>0</v>
      </c>
      <c r="N29" s="684">
        <f t="shared" si="8"/>
        <v>0</v>
      </c>
      <c r="O29" s="680">
        <v>0</v>
      </c>
      <c r="P29" s="681">
        <f t="shared" si="9"/>
        <v>0</v>
      </c>
      <c r="Q29" s="681">
        <f t="shared" si="10"/>
        <v>0</v>
      </c>
      <c r="R29" s="681">
        <f t="shared" si="11"/>
        <v>0</v>
      </c>
      <c r="S29" s="680">
        <f t="shared" si="12"/>
        <v>0</v>
      </c>
      <c r="T29" s="684">
        <f t="shared" si="12"/>
        <v>0</v>
      </c>
      <c r="U29" s="684">
        <f t="shared" si="12"/>
        <v>0</v>
      </c>
      <c r="V29" s="684">
        <f t="shared" si="13"/>
        <v>0</v>
      </c>
    </row>
    <row r="30" spans="1:22" s="151" customFormat="1" ht="16.149999999999999" customHeight="1">
      <c r="A30" s="678">
        <v>19</v>
      </c>
      <c r="B30" s="682" t="s">
        <v>931</v>
      </c>
      <c r="C30" s="683">
        <v>1094</v>
      </c>
      <c r="D30" s="684">
        <f t="shared" si="0"/>
        <v>65.64</v>
      </c>
      <c r="E30" s="684">
        <f t="shared" si="1"/>
        <v>43.76</v>
      </c>
      <c r="F30" s="684">
        <f t="shared" si="2"/>
        <v>109.4</v>
      </c>
      <c r="G30" s="683">
        <v>0</v>
      </c>
      <c r="H30" s="684">
        <f t="shared" si="3"/>
        <v>0</v>
      </c>
      <c r="I30" s="684">
        <f t="shared" si="4"/>
        <v>0</v>
      </c>
      <c r="J30" s="684">
        <f t="shared" si="5"/>
        <v>0</v>
      </c>
      <c r="K30" s="683">
        <v>0</v>
      </c>
      <c r="L30" s="684">
        <f t="shared" si="6"/>
        <v>0</v>
      </c>
      <c r="M30" s="684">
        <f t="shared" si="7"/>
        <v>0</v>
      </c>
      <c r="N30" s="684">
        <f t="shared" si="8"/>
        <v>0</v>
      </c>
      <c r="O30" s="680">
        <v>0</v>
      </c>
      <c r="P30" s="681">
        <f t="shared" si="9"/>
        <v>0</v>
      </c>
      <c r="Q30" s="681">
        <f t="shared" si="10"/>
        <v>0</v>
      </c>
      <c r="R30" s="681">
        <f t="shared" si="11"/>
        <v>0</v>
      </c>
      <c r="S30" s="680">
        <f t="shared" si="12"/>
        <v>1094</v>
      </c>
      <c r="T30" s="684">
        <f t="shared" si="12"/>
        <v>65.64</v>
      </c>
      <c r="U30" s="684">
        <f t="shared" si="12"/>
        <v>43.76</v>
      </c>
      <c r="V30" s="684">
        <f t="shared" si="13"/>
        <v>109.4</v>
      </c>
    </row>
    <row r="31" spans="1:22" s="151" customFormat="1" ht="16.149999999999999" customHeight="1">
      <c r="A31" s="678">
        <v>20</v>
      </c>
      <c r="B31" s="679" t="s">
        <v>932</v>
      </c>
      <c r="C31" s="683">
        <v>0</v>
      </c>
      <c r="D31" s="684">
        <f t="shared" si="0"/>
        <v>0</v>
      </c>
      <c r="E31" s="684">
        <f t="shared" si="1"/>
        <v>0</v>
      </c>
      <c r="F31" s="684">
        <f t="shared" si="2"/>
        <v>0</v>
      </c>
      <c r="G31" s="683">
        <v>4</v>
      </c>
      <c r="H31" s="684">
        <f t="shared" si="3"/>
        <v>0.36</v>
      </c>
      <c r="I31" s="684">
        <f t="shared" si="4"/>
        <v>0.24</v>
      </c>
      <c r="J31" s="684">
        <f t="shared" si="5"/>
        <v>0.6</v>
      </c>
      <c r="K31" s="683">
        <v>0</v>
      </c>
      <c r="L31" s="684">
        <f t="shared" si="6"/>
        <v>0</v>
      </c>
      <c r="M31" s="684">
        <f t="shared" si="7"/>
        <v>0</v>
      </c>
      <c r="N31" s="684">
        <f t="shared" si="8"/>
        <v>0</v>
      </c>
      <c r="O31" s="680">
        <v>0</v>
      </c>
      <c r="P31" s="681">
        <f t="shared" si="9"/>
        <v>0</v>
      </c>
      <c r="Q31" s="681">
        <f t="shared" si="10"/>
        <v>0</v>
      </c>
      <c r="R31" s="681">
        <f t="shared" si="11"/>
        <v>0</v>
      </c>
      <c r="S31" s="680">
        <f t="shared" si="12"/>
        <v>4</v>
      </c>
      <c r="T31" s="684">
        <f t="shared" si="12"/>
        <v>0.36</v>
      </c>
      <c r="U31" s="684">
        <f t="shared" si="12"/>
        <v>0.24</v>
      </c>
      <c r="V31" s="684">
        <f t="shared" si="13"/>
        <v>0.6</v>
      </c>
    </row>
    <row r="32" spans="1:22" s="151" customFormat="1" ht="16.149999999999999" customHeight="1">
      <c r="A32" s="678">
        <v>21</v>
      </c>
      <c r="B32" s="679" t="s">
        <v>933</v>
      </c>
      <c r="C32" s="683">
        <v>0</v>
      </c>
      <c r="D32" s="684">
        <f t="shared" si="0"/>
        <v>0</v>
      </c>
      <c r="E32" s="684">
        <f t="shared" si="1"/>
        <v>0</v>
      </c>
      <c r="F32" s="684">
        <f t="shared" si="2"/>
        <v>0</v>
      </c>
      <c r="G32" s="683">
        <v>5</v>
      </c>
      <c r="H32" s="684">
        <f t="shared" si="3"/>
        <v>0.45</v>
      </c>
      <c r="I32" s="684">
        <f t="shared" si="4"/>
        <v>0.3</v>
      </c>
      <c r="J32" s="684">
        <f t="shared" si="5"/>
        <v>0.75</v>
      </c>
      <c r="K32" s="683">
        <v>0</v>
      </c>
      <c r="L32" s="684">
        <f t="shared" si="6"/>
        <v>0</v>
      </c>
      <c r="M32" s="684">
        <f t="shared" si="7"/>
        <v>0</v>
      </c>
      <c r="N32" s="684">
        <f t="shared" si="8"/>
        <v>0</v>
      </c>
      <c r="O32" s="680">
        <v>0</v>
      </c>
      <c r="P32" s="681">
        <f t="shared" si="9"/>
        <v>0</v>
      </c>
      <c r="Q32" s="681">
        <f t="shared" si="10"/>
        <v>0</v>
      </c>
      <c r="R32" s="681">
        <f t="shared" si="11"/>
        <v>0</v>
      </c>
      <c r="S32" s="680">
        <f t="shared" si="12"/>
        <v>5</v>
      </c>
      <c r="T32" s="684">
        <f t="shared" si="12"/>
        <v>0.45</v>
      </c>
      <c r="U32" s="684">
        <f t="shared" si="12"/>
        <v>0.3</v>
      </c>
      <c r="V32" s="684">
        <f t="shared" si="13"/>
        <v>0.75</v>
      </c>
    </row>
    <row r="33" spans="1:22" s="151" customFormat="1" ht="16.149999999999999" customHeight="1">
      <c r="A33" s="678">
        <v>22</v>
      </c>
      <c r="B33" s="679" t="s">
        <v>934</v>
      </c>
      <c r="C33" s="683">
        <v>0</v>
      </c>
      <c r="D33" s="684">
        <f t="shared" si="0"/>
        <v>0</v>
      </c>
      <c r="E33" s="684">
        <f t="shared" si="1"/>
        <v>0</v>
      </c>
      <c r="F33" s="684">
        <f t="shared" si="2"/>
        <v>0</v>
      </c>
      <c r="G33" s="683">
        <v>12</v>
      </c>
      <c r="H33" s="684">
        <f t="shared" si="3"/>
        <v>1.08</v>
      </c>
      <c r="I33" s="684">
        <f t="shared" si="4"/>
        <v>0.72</v>
      </c>
      <c r="J33" s="684">
        <f t="shared" si="5"/>
        <v>1.8</v>
      </c>
      <c r="K33" s="683">
        <v>3</v>
      </c>
      <c r="L33" s="684">
        <f t="shared" si="6"/>
        <v>0.36</v>
      </c>
      <c r="M33" s="684">
        <f t="shared" si="7"/>
        <v>0.24</v>
      </c>
      <c r="N33" s="684">
        <f t="shared" si="8"/>
        <v>0.6</v>
      </c>
      <c r="O33" s="680">
        <v>0</v>
      </c>
      <c r="P33" s="681">
        <f>ROUND(O33*15000/100000,2)</f>
        <v>0</v>
      </c>
      <c r="Q33" s="681">
        <f t="shared" si="10"/>
        <v>0</v>
      </c>
      <c r="R33" s="681">
        <f t="shared" si="11"/>
        <v>0</v>
      </c>
      <c r="S33" s="680">
        <f t="shared" si="12"/>
        <v>15</v>
      </c>
      <c r="T33" s="684">
        <f t="shared" si="12"/>
        <v>1.44</v>
      </c>
      <c r="U33" s="684">
        <f t="shared" si="12"/>
        <v>0.96</v>
      </c>
      <c r="V33" s="684">
        <f t="shared" si="13"/>
        <v>2.4</v>
      </c>
    </row>
    <row r="34" spans="1:22" s="151" customFormat="1" ht="16.149999999999999" customHeight="1">
      <c r="A34" s="678">
        <v>23</v>
      </c>
      <c r="B34" s="679" t="s">
        <v>935</v>
      </c>
      <c r="C34" s="683">
        <v>0</v>
      </c>
      <c r="D34" s="684">
        <f t="shared" si="0"/>
        <v>0</v>
      </c>
      <c r="E34" s="684">
        <f t="shared" si="1"/>
        <v>0</v>
      </c>
      <c r="F34" s="684">
        <f t="shared" si="2"/>
        <v>0</v>
      </c>
      <c r="G34" s="683">
        <v>5</v>
      </c>
      <c r="H34" s="684">
        <f t="shared" si="3"/>
        <v>0.45</v>
      </c>
      <c r="I34" s="684">
        <f t="shared" si="4"/>
        <v>0.3</v>
      </c>
      <c r="J34" s="684">
        <f t="shared" si="5"/>
        <v>0.75</v>
      </c>
      <c r="K34" s="683">
        <v>4</v>
      </c>
      <c r="L34" s="684">
        <f t="shared" si="6"/>
        <v>0.48</v>
      </c>
      <c r="M34" s="684">
        <f t="shared" si="7"/>
        <v>0.32</v>
      </c>
      <c r="N34" s="684">
        <f t="shared" si="8"/>
        <v>0.8</v>
      </c>
      <c r="O34" s="680">
        <v>0</v>
      </c>
      <c r="P34" s="681">
        <f t="shared" si="9"/>
        <v>0</v>
      </c>
      <c r="Q34" s="681">
        <f t="shared" si="10"/>
        <v>0</v>
      </c>
      <c r="R34" s="681">
        <f t="shared" si="11"/>
        <v>0</v>
      </c>
      <c r="S34" s="680">
        <f t="shared" si="12"/>
        <v>9</v>
      </c>
      <c r="T34" s="684">
        <f t="shared" si="12"/>
        <v>0.92999999999999994</v>
      </c>
      <c r="U34" s="684">
        <f t="shared" si="12"/>
        <v>0.62</v>
      </c>
      <c r="V34" s="684">
        <f t="shared" si="13"/>
        <v>1.5499999999999998</v>
      </c>
    </row>
    <row r="35" spans="1:22" s="151" customFormat="1" ht="16.149999999999999" customHeight="1">
      <c r="A35" s="678">
        <v>24</v>
      </c>
      <c r="B35" s="679" t="s">
        <v>936</v>
      </c>
      <c r="C35" s="683">
        <v>50</v>
      </c>
      <c r="D35" s="684">
        <f t="shared" si="0"/>
        <v>3</v>
      </c>
      <c r="E35" s="684">
        <f t="shared" si="1"/>
        <v>2</v>
      </c>
      <c r="F35" s="684">
        <f t="shared" si="2"/>
        <v>5</v>
      </c>
      <c r="G35" s="683">
        <v>200</v>
      </c>
      <c r="H35" s="684">
        <f>ROUND(G35*9000/100000,2)</f>
        <v>18</v>
      </c>
      <c r="I35" s="684">
        <f t="shared" si="4"/>
        <v>12</v>
      </c>
      <c r="J35" s="684">
        <f t="shared" si="5"/>
        <v>30</v>
      </c>
      <c r="K35" s="683">
        <v>200</v>
      </c>
      <c r="L35" s="684">
        <f t="shared" si="6"/>
        <v>24</v>
      </c>
      <c r="M35" s="684">
        <f t="shared" si="7"/>
        <v>16</v>
      </c>
      <c r="N35" s="684">
        <f t="shared" si="8"/>
        <v>40</v>
      </c>
      <c r="O35" s="680">
        <v>50</v>
      </c>
      <c r="P35" s="681">
        <f t="shared" si="9"/>
        <v>7.5</v>
      </c>
      <c r="Q35" s="681">
        <f t="shared" si="10"/>
        <v>5</v>
      </c>
      <c r="R35" s="681">
        <f t="shared" si="11"/>
        <v>12.5</v>
      </c>
      <c r="S35" s="680">
        <f t="shared" si="12"/>
        <v>500</v>
      </c>
      <c r="T35" s="684">
        <f t="shared" si="12"/>
        <v>52.5</v>
      </c>
      <c r="U35" s="684">
        <f t="shared" si="12"/>
        <v>35</v>
      </c>
      <c r="V35" s="684">
        <f t="shared" si="13"/>
        <v>87.5</v>
      </c>
    </row>
    <row r="36" spans="1:22" s="151" customFormat="1" ht="16.149999999999999" customHeight="1">
      <c r="A36" s="678">
        <v>25</v>
      </c>
      <c r="B36" s="679" t="s">
        <v>937</v>
      </c>
      <c r="C36" s="683">
        <v>50</v>
      </c>
      <c r="D36" s="684">
        <f t="shared" si="0"/>
        <v>3</v>
      </c>
      <c r="E36" s="684">
        <f t="shared" si="1"/>
        <v>2</v>
      </c>
      <c r="F36" s="684">
        <f t="shared" si="2"/>
        <v>5</v>
      </c>
      <c r="G36" s="683">
        <v>200</v>
      </c>
      <c r="H36" s="684">
        <f t="shared" si="3"/>
        <v>18</v>
      </c>
      <c r="I36" s="684">
        <f t="shared" si="4"/>
        <v>12</v>
      </c>
      <c r="J36" s="684">
        <f t="shared" si="5"/>
        <v>30</v>
      </c>
      <c r="K36" s="683">
        <v>227</v>
      </c>
      <c r="L36" s="684">
        <f t="shared" si="6"/>
        <v>27.24</v>
      </c>
      <c r="M36" s="684">
        <f t="shared" si="7"/>
        <v>18.16</v>
      </c>
      <c r="N36" s="684">
        <f t="shared" si="8"/>
        <v>45.4</v>
      </c>
      <c r="O36" s="680">
        <v>55</v>
      </c>
      <c r="P36" s="681">
        <f t="shared" si="9"/>
        <v>8.25</v>
      </c>
      <c r="Q36" s="681">
        <f t="shared" si="10"/>
        <v>5.5</v>
      </c>
      <c r="R36" s="681">
        <f t="shared" si="11"/>
        <v>13.75</v>
      </c>
      <c r="S36" s="680">
        <f t="shared" si="12"/>
        <v>532</v>
      </c>
      <c r="T36" s="684">
        <f t="shared" si="12"/>
        <v>56.489999999999995</v>
      </c>
      <c r="U36" s="684">
        <f t="shared" si="12"/>
        <v>37.659999999999997</v>
      </c>
      <c r="V36" s="684">
        <f t="shared" si="13"/>
        <v>94.149999999999991</v>
      </c>
    </row>
    <row r="37" spans="1:22" s="151" customFormat="1" ht="16.149999999999999" customHeight="1">
      <c r="A37" s="678">
        <v>26</v>
      </c>
      <c r="B37" s="679" t="s">
        <v>938</v>
      </c>
      <c r="C37" s="683">
        <v>0</v>
      </c>
      <c r="D37" s="684">
        <f t="shared" si="0"/>
        <v>0</v>
      </c>
      <c r="E37" s="684">
        <f t="shared" si="1"/>
        <v>0</v>
      </c>
      <c r="F37" s="684">
        <f t="shared" si="2"/>
        <v>0</v>
      </c>
      <c r="G37" s="683">
        <v>11</v>
      </c>
      <c r="H37" s="684">
        <f t="shared" si="3"/>
        <v>0.99</v>
      </c>
      <c r="I37" s="684">
        <f t="shared" si="4"/>
        <v>0.66</v>
      </c>
      <c r="J37" s="684">
        <f t="shared" si="5"/>
        <v>1.65</v>
      </c>
      <c r="K37" s="683">
        <v>0</v>
      </c>
      <c r="L37" s="684">
        <f t="shared" si="6"/>
        <v>0</v>
      </c>
      <c r="M37" s="684">
        <f t="shared" si="7"/>
        <v>0</v>
      </c>
      <c r="N37" s="684">
        <f t="shared" si="8"/>
        <v>0</v>
      </c>
      <c r="O37" s="680">
        <v>0</v>
      </c>
      <c r="P37" s="681">
        <f t="shared" si="9"/>
        <v>0</v>
      </c>
      <c r="Q37" s="681">
        <f t="shared" si="10"/>
        <v>0</v>
      </c>
      <c r="R37" s="681">
        <f t="shared" si="11"/>
        <v>0</v>
      </c>
      <c r="S37" s="680">
        <f t="shared" si="12"/>
        <v>11</v>
      </c>
      <c r="T37" s="684">
        <f t="shared" si="12"/>
        <v>0.99</v>
      </c>
      <c r="U37" s="684">
        <f t="shared" si="12"/>
        <v>0.66</v>
      </c>
      <c r="V37" s="684">
        <f t="shared" si="13"/>
        <v>1.65</v>
      </c>
    </row>
    <row r="38" spans="1:22" s="151" customFormat="1" ht="16.149999999999999" customHeight="1">
      <c r="A38" s="678">
        <v>27</v>
      </c>
      <c r="B38" s="679" t="s">
        <v>939</v>
      </c>
      <c r="C38" s="683">
        <v>0</v>
      </c>
      <c r="D38" s="684">
        <f t="shared" si="0"/>
        <v>0</v>
      </c>
      <c r="E38" s="684">
        <f t="shared" si="1"/>
        <v>0</v>
      </c>
      <c r="F38" s="684">
        <f t="shared" si="2"/>
        <v>0</v>
      </c>
      <c r="G38" s="683">
        <v>1</v>
      </c>
      <c r="H38" s="684">
        <f t="shared" si="3"/>
        <v>0.09</v>
      </c>
      <c r="I38" s="684">
        <f t="shared" si="4"/>
        <v>0.06</v>
      </c>
      <c r="J38" s="684">
        <f t="shared" si="5"/>
        <v>0.15</v>
      </c>
      <c r="K38" s="683">
        <v>0</v>
      </c>
      <c r="L38" s="684">
        <f t="shared" si="6"/>
        <v>0</v>
      </c>
      <c r="M38" s="684">
        <f t="shared" si="7"/>
        <v>0</v>
      </c>
      <c r="N38" s="684">
        <f t="shared" si="8"/>
        <v>0</v>
      </c>
      <c r="O38" s="680">
        <v>0</v>
      </c>
      <c r="P38" s="681">
        <f t="shared" si="9"/>
        <v>0</v>
      </c>
      <c r="Q38" s="681">
        <f t="shared" si="10"/>
        <v>0</v>
      </c>
      <c r="R38" s="681">
        <f t="shared" si="11"/>
        <v>0</v>
      </c>
      <c r="S38" s="680">
        <f t="shared" si="12"/>
        <v>1</v>
      </c>
      <c r="T38" s="684">
        <f t="shared" si="12"/>
        <v>0.09</v>
      </c>
      <c r="U38" s="684">
        <f t="shared" si="12"/>
        <v>0.06</v>
      </c>
      <c r="V38" s="684">
        <f t="shared" si="13"/>
        <v>0.15</v>
      </c>
    </row>
    <row r="39" spans="1:22" s="151" customFormat="1" ht="16.149999999999999" customHeight="1">
      <c r="A39" s="678">
        <v>28</v>
      </c>
      <c r="B39" s="679" t="s">
        <v>940</v>
      </c>
      <c r="C39" s="683">
        <v>1</v>
      </c>
      <c r="D39" s="684">
        <f t="shared" si="0"/>
        <v>0.06</v>
      </c>
      <c r="E39" s="684">
        <f t="shared" si="1"/>
        <v>0.04</v>
      </c>
      <c r="F39" s="684">
        <f t="shared" si="2"/>
        <v>0.1</v>
      </c>
      <c r="G39" s="683">
        <v>16</v>
      </c>
      <c r="H39" s="684">
        <f t="shared" si="3"/>
        <v>1.44</v>
      </c>
      <c r="I39" s="684">
        <f t="shared" si="4"/>
        <v>0.96</v>
      </c>
      <c r="J39" s="684">
        <f t="shared" si="5"/>
        <v>2.4</v>
      </c>
      <c r="K39" s="683">
        <v>0</v>
      </c>
      <c r="L39" s="684">
        <f t="shared" si="6"/>
        <v>0</v>
      </c>
      <c r="M39" s="684">
        <f t="shared" si="7"/>
        <v>0</v>
      </c>
      <c r="N39" s="684">
        <f t="shared" si="8"/>
        <v>0</v>
      </c>
      <c r="O39" s="680">
        <v>0</v>
      </c>
      <c r="P39" s="681">
        <f t="shared" si="9"/>
        <v>0</v>
      </c>
      <c r="Q39" s="681">
        <f t="shared" si="10"/>
        <v>0</v>
      </c>
      <c r="R39" s="681">
        <f t="shared" si="11"/>
        <v>0</v>
      </c>
      <c r="S39" s="680">
        <f t="shared" si="12"/>
        <v>17</v>
      </c>
      <c r="T39" s="684">
        <f t="shared" si="12"/>
        <v>1.5</v>
      </c>
      <c r="U39" s="684">
        <f t="shared" si="12"/>
        <v>1</v>
      </c>
      <c r="V39" s="684">
        <f t="shared" si="13"/>
        <v>2.5</v>
      </c>
    </row>
    <row r="40" spans="1:22" s="151" customFormat="1" ht="16.149999999999999" customHeight="1">
      <c r="A40" s="678">
        <v>29</v>
      </c>
      <c r="B40" s="679" t="s">
        <v>941</v>
      </c>
      <c r="C40" s="683">
        <v>0</v>
      </c>
      <c r="D40" s="684">
        <f t="shared" si="0"/>
        <v>0</v>
      </c>
      <c r="E40" s="684">
        <f t="shared" si="1"/>
        <v>0</v>
      </c>
      <c r="F40" s="684">
        <f t="shared" si="2"/>
        <v>0</v>
      </c>
      <c r="G40" s="683">
        <v>3</v>
      </c>
      <c r="H40" s="684">
        <f t="shared" si="3"/>
        <v>0.27</v>
      </c>
      <c r="I40" s="684">
        <f t="shared" si="4"/>
        <v>0.18</v>
      </c>
      <c r="J40" s="684">
        <f t="shared" si="5"/>
        <v>0.45</v>
      </c>
      <c r="K40" s="683">
        <v>0</v>
      </c>
      <c r="L40" s="684">
        <f t="shared" si="6"/>
        <v>0</v>
      </c>
      <c r="M40" s="684">
        <f t="shared" si="7"/>
        <v>0</v>
      </c>
      <c r="N40" s="684">
        <f t="shared" si="8"/>
        <v>0</v>
      </c>
      <c r="O40" s="680">
        <v>0</v>
      </c>
      <c r="P40" s="681">
        <f t="shared" si="9"/>
        <v>0</v>
      </c>
      <c r="Q40" s="681">
        <f t="shared" si="10"/>
        <v>0</v>
      </c>
      <c r="R40" s="681">
        <f t="shared" si="11"/>
        <v>0</v>
      </c>
      <c r="S40" s="680">
        <f t="shared" si="12"/>
        <v>3</v>
      </c>
      <c r="T40" s="684">
        <f t="shared" si="12"/>
        <v>0.27</v>
      </c>
      <c r="U40" s="684">
        <f t="shared" si="12"/>
        <v>0.18</v>
      </c>
      <c r="V40" s="684">
        <f t="shared" si="13"/>
        <v>0.45</v>
      </c>
    </row>
    <row r="41" spans="1:22" s="151" customFormat="1" ht="16.149999999999999" customHeight="1">
      <c r="A41" s="678">
        <v>30</v>
      </c>
      <c r="B41" s="679" t="s">
        <v>942</v>
      </c>
      <c r="C41" s="683">
        <v>0</v>
      </c>
      <c r="D41" s="684">
        <f t="shared" si="0"/>
        <v>0</v>
      </c>
      <c r="E41" s="684">
        <f t="shared" si="1"/>
        <v>0</v>
      </c>
      <c r="F41" s="684">
        <f t="shared" si="2"/>
        <v>0</v>
      </c>
      <c r="G41" s="683">
        <v>20</v>
      </c>
      <c r="H41" s="684">
        <f t="shared" si="3"/>
        <v>1.8</v>
      </c>
      <c r="I41" s="684">
        <f t="shared" si="4"/>
        <v>1.2</v>
      </c>
      <c r="J41" s="684">
        <f t="shared" si="5"/>
        <v>3</v>
      </c>
      <c r="K41" s="683">
        <v>12</v>
      </c>
      <c r="L41" s="684">
        <f t="shared" si="6"/>
        <v>1.44</v>
      </c>
      <c r="M41" s="684">
        <f t="shared" si="7"/>
        <v>0.96</v>
      </c>
      <c r="N41" s="684">
        <f t="shared" si="8"/>
        <v>2.4</v>
      </c>
      <c r="O41" s="680">
        <v>0</v>
      </c>
      <c r="P41" s="681">
        <f t="shared" si="9"/>
        <v>0</v>
      </c>
      <c r="Q41" s="681">
        <f t="shared" si="10"/>
        <v>0</v>
      </c>
      <c r="R41" s="681">
        <f t="shared" si="11"/>
        <v>0</v>
      </c>
      <c r="S41" s="680">
        <f t="shared" si="12"/>
        <v>32</v>
      </c>
      <c r="T41" s="684">
        <f t="shared" si="12"/>
        <v>3.24</v>
      </c>
      <c r="U41" s="684">
        <f t="shared" si="12"/>
        <v>2.16</v>
      </c>
      <c r="V41" s="684">
        <f t="shared" si="13"/>
        <v>5.4</v>
      </c>
    </row>
    <row r="42" spans="1:22" s="151" customFormat="1" ht="16.149999999999999" customHeight="1">
      <c r="A42" s="678">
        <v>31</v>
      </c>
      <c r="B42" s="679" t="s">
        <v>943</v>
      </c>
      <c r="C42" s="680">
        <v>0</v>
      </c>
      <c r="D42" s="681">
        <f t="shared" si="0"/>
        <v>0</v>
      </c>
      <c r="E42" s="681">
        <f t="shared" si="1"/>
        <v>0</v>
      </c>
      <c r="F42" s="681">
        <f t="shared" si="2"/>
        <v>0</v>
      </c>
      <c r="G42" s="680">
        <v>0</v>
      </c>
      <c r="H42" s="681">
        <f t="shared" si="3"/>
        <v>0</v>
      </c>
      <c r="I42" s="681">
        <f t="shared" si="4"/>
        <v>0</v>
      </c>
      <c r="J42" s="681">
        <f t="shared" si="5"/>
        <v>0</v>
      </c>
      <c r="K42" s="680">
        <v>0</v>
      </c>
      <c r="L42" s="681">
        <f t="shared" si="6"/>
        <v>0</v>
      </c>
      <c r="M42" s="681">
        <f t="shared" si="7"/>
        <v>0</v>
      </c>
      <c r="N42" s="681">
        <f t="shared" si="8"/>
        <v>0</v>
      </c>
      <c r="O42" s="680">
        <v>0</v>
      </c>
      <c r="P42" s="681">
        <f t="shared" si="9"/>
        <v>0</v>
      </c>
      <c r="Q42" s="681">
        <f t="shared" si="10"/>
        <v>0</v>
      </c>
      <c r="R42" s="681">
        <f t="shared" si="11"/>
        <v>0</v>
      </c>
      <c r="S42" s="680">
        <f t="shared" si="12"/>
        <v>0</v>
      </c>
      <c r="T42" s="681">
        <f t="shared" si="12"/>
        <v>0</v>
      </c>
      <c r="U42" s="681">
        <f t="shared" si="12"/>
        <v>0</v>
      </c>
      <c r="V42" s="681">
        <f t="shared" si="13"/>
        <v>0</v>
      </c>
    </row>
    <row r="43" spans="1:22" s="151" customFormat="1" ht="16.149999999999999" customHeight="1">
      <c r="A43" s="678">
        <v>32</v>
      </c>
      <c r="B43" s="679" t="s">
        <v>944</v>
      </c>
      <c r="C43" s="680">
        <v>0</v>
      </c>
      <c r="D43" s="681">
        <f t="shared" si="0"/>
        <v>0</v>
      </c>
      <c r="E43" s="681">
        <f t="shared" si="1"/>
        <v>0</v>
      </c>
      <c r="F43" s="681">
        <f t="shared" si="2"/>
        <v>0</v>
      </c>
      <c r="G43" s="680">
        <v>3</v>
      </c>
      <c r="H43" s="681">
        <f t="shared" si="3"/>
        <v>0.27</v>
      </c>
      <c r="I43" s="681">
        <f t="shared" si="4"/>
        <v>0.18</v>
      </c>
      <c r="J43" s="681">
        <f t="shared" si="5"/>
        <v>0.45</v>
      </c>
      <c r="K43" s="680">
        <v>0</v>
      </c>
      <c r="L43" s="681">
        <f t="shared" si="6"/>
        <v>0</v>
      </c>
      <c r="M43" s="681">
        <f t="shared" si="7"/>
        <v>0</v>
      </c>
      <c r="N43" s="681">
        <f t="shared" si="8"/>
        <v>0</v>
      </c>
      <c r="O43" s="680">
        <v>0</v>
      </c>
      <c r="P43" s="681">
        <f t="shared" si="9"/>
        <v>0</v>
      </c>
      <c r="Q43" s="681">
        <f t="shared" si="10"/>
        <v>0</v>
      </c>
      <c r="R43" s="681">
        <f t="shared" si="11"/>
        <v>0</v>
      </c>
      <c r="S43" s="680">
        <f t="shared" si="12"/>
        <v>3</v>
      </c>
      <c r="T43" s="681">
        <f t="shared" si="12"/>
        <v>0.27</v>
      </c>
      <c r="U43" s="681">
        <f t="shared" si="12"/>
        <v>0.18</v>
      </c>
      <c r="V43" s="681">
        <f t="shared" si="13"/>
        <v>0.45</v>
      </c>
    </row>
    <row r="44" spans="1:22" s="151" customFormat="1" ht="16.149999999999999" customHeight="1">
      <c r="A44" s="678">
        <v>33</v>
      </c>
      <c r="B44" s="679" t="s">
        <v>945</v>
      </c>
      <c r="C44" s="680">
        <v>57</v>
      </c>
      <c r="D44" s="681">
        <f t="shared" si="0"/>
        <v>3.42</v>
      </c>
      <c r="E44" s="681">
        <f t="shared" si="1"/>
        <v>2.2799999999999998</v>
      </c>
      <c r="F44" s="681">
        <f t="shared" si="2"/>
        <v>5.6999999999999993</v>
      </c>
      <c r="G44" s="680">
        <v>350</v>
      </c>
      <c r="H44" s="681">
        <f t="shared" si="3"/>
        <v>31.5</v>
      </c>
      <c r="I44" s="681">
        <f t="shared" si="4"/>
        <v>21</v>
      </c>
      <c r="J44" s="681">
        <f t="shared" si="5"/>
        <v>52.5</v>
      </c>
      <c r="K44" s="680">
        <v>350</v>
      </c>
      <c r="L44" s="681">
        <f t="shared" si="6"/>
        <v>42</v>
      </c>
      <c r="M44" s="681">
        <f t="shared" si="7"/>
        <v>28</v>
      </c>
      <c r="N44" s="681">
        <f t="shared" si="8"/>
        <v>70</v>
      </c>
      <c r="O44" s="680">
        <v>150</v>
      </c>
      <c r="P44" s="681">
        <f t="shared" si="9"/>
        <v>22.5</v>
      </c>
      <c r="Q44" s="681">
        <f t="shared" si="10"/>
        <v>15</v>
      </c>
      <c r="R44" s="681">
        <f t="shared" si="11"/>
        <v>37.5</v>
      </c>
      <c r="S44" s="680">
        <f t="shared" si="12"/>
        <v>907</v>
      </c>
      <c r="T44" s="681">
        <f t="shared" si="12"/>
        <v>99.42</v>
      </c>
      <c r="U44" s="681">
        <f t="shared" si="12"/>
        <v>66.28</v>
      </c>
      <c r="V44" s="681">
        <f t="shared" si="13"/>
        <v>165.7</v>
      </c>
    </row>
    <row r="45" spans="1:22">
      <c r="A45" s="685" t="s">
        <v>17</v>
      </c>
      <c r="B45" s="686"/>
      <c r="C45" s="249">
        <f>SUM(C12:C44)</f>
        <v>2934</v>
      </c>
      <c r="D45" s="687">
        <f t="shared" ref="D45:V45" si="14">SUM(D12:D44)</f>
        <v>175.44</v>
      </c>
      <c r="E45" s="687">
        <f t="shared" si="14"/>
        <v>117.36000000000003</v>
      </c>
      <c r="F45" s="687">
        <f t="shared" si="14"/>
        <v>292.8</v>
      </c>
      <c r="G45" s="249">
        <f t="shared" si="14"/>
        <v>1804</v>
      </c>
      <c r="H45" s="687">
        <f t="shared" si="14"/>
        <v>162.36000000000004</v>
      </c>
      <c r="I45" s="687">
        <f t="shared" si="14"/>
        <v>108.24000000000001</v>
      </c>
      <c r="J45" s="687">
        <f t="shared" si="14"/>
        <v>270.60000000000002</v>
      </c>
      <c r="K45" s="249">
        <f t="shared" si="14"/>
        <v>1735</v>
      </c>
      <c r="L45" s="688">
        <f t="shared" si="14"/>
        <v>208.2</v>
      </c>
      <c r="M45" s="688">
        <f t="shared" si="14"/>
        <v>138.79999999999998</v>
      </c>
      <c r="N45" s="688">
        <f t="shared" si="14"/>
        <v>347</v>
      </c>
      <c r="O45" s="249">
        <f t="shared" si="14"/>
        <v>472</v>
      </c>
      <c r="P45" s="687">
        <f t="shared" si="14"/>
        <v>70.8</v>
      </c>
      <c r="Q45" s="687">
        <f t="shared" si="14"/>
        <v>47.2</v>
      </c>
      <c r="R45" s="687">
        <f t="shared" si="14"/>
        <v>118</v>
      </c>
      <c r="S45" s="249">
        <f t="shared" si="14"/>
        <v>6945</v>
      </c>
      <c r="T45" s="687">
        <f t="shared" si="14"/>
        <v>616.79999999999984</v>
      </c>
      <c r="U45" s="687">
        <f t="shared" si="14"/>
        <v>411.60000000000014</v>
      </c>
      <c r="V45" s="687">
        <f t="shared" si="14"/>
        <v>1028.3999999999996</v>
      </c>
    </row>
    <row r="46" spans="1:22">
      <c r="S46" s="74">
        <f>S45-C30-C12</f>
        <v>4312</v>
      </c>
    </row>
    <row r="47" spans="1:22" s="15" customFormat="1" ht="12.75">
      <c r="G47" s="14"/>
      <c r="H47" s="14"/>
      <c r="K47" s="14"/>
      <c r="L47" s="14"/>
      <c r="M47" s="14"/>
      <c r="N47" s="14"/>
      <c r="O47" s="14"/>
      <c r="P47" s="14"/>
      <c r="Q47" s="14"/>
      <c r="R47" s="14"/>
      <c r="S47" s="804"/>
      <c r="T47" s="804"/>
      <c r="U47" s="804"/>
      <c r="V47" s="804"/>
    </row>
    <row r="48" spans="1:22" s="15" customFormat="1" ht="12.75" customHeight="1">
      <c r="C48" s="1133" t="s">
        <v>906</v>
      </c>
      <c r="D48" s="1133"/>
      <c r="E48" s="1133"/>
      <c r="F48" s="1133"/>
      <c r="K48" s="33"/>
      <c r="L48" s="33"/>
      <c r="M48" s="33"/>
      <c r="N48" s="33"/>
      <c r="O48" s="33"/>
      <c r="P48" s="33"/>
      <c r="Q48" s="33"/>
      <c r="R48" s="74"/>
      <c r="S48" s="804" t="s">
        <v>12</v>
      </c>
      <c r="T48" s="804"/>
      <c r="U48" s="33"/>
      <c r="V48" s="33"/>
    </row>
    <row r="49" spans="1:22" s="15" customFormat="1" ht="12.75" customHeight="1">
      <c r="C49" s="1148" t="s">
        <v>907</v>
      </c>
      <c r="D49" s="1148"/>
      <c r="E49" s="1148"/>
      <c r="F49" s="1148"/>
      <c r="K49" s="33"/>
      <c r="L49" s="33"/>
      <c r="M49" s="33"/>
      <c r="N49" s="33"/>
      <c r="O49" s="33"/>
      <c r="P49" s="33"/>
      <c r="Q49" s="33"/>
      <c r="R49" s="33" t="s">
        <v>13</v>
      </c>
      <c r="S49" s="33"/>
      <c r="T49" s="33"/>
      <c r="U49" s="33"/>
      <c r="V49" s="33"/>
    </row>
    <row r="50" spans="1:22" s="15" customFormat="1" ht="12.75">
      <c r="A50" s="14"/>
      <c r="B50" s="14"/>
      <c r="C50" s="1148" t="s">
        <v>908</v>
      </c>
      <c r="D50" s="1148"/>
      <c r="E50" s="1148"/>
      <c r="F50" s="1148"/>
      <c r="K50" s="14"/>
      <c r="L50" s="14"/>
      <c r="M50" s="14"/>
      <c r="N50" s="14"/>
      <c r="O50" s="14"/>
      <c r="P50" s="14"/>
      <c r="Q50" s="33"/>
      <c r="R50" s="33" t="s">
        <v>87</v>
      </c>
      <c r="S50" s="33"/>
      <c r="T50" s="33"/>
      <c r="U50" s="33"/>
      <c r="V50" s="33"/>
    </row>
    <row r="51" spans="1:22">
      <c r="R51" s="850" t="s">
        <v>84</v>
      </c>
      <c r="S51" s="850"/>
      <c r="T51" s="850"/>
    </row>
    <row r="53" spans="1:22">
      <c r="A53" s="14" t="s">
        <v>11</v>
      </c>
    </row>
  </sheetData>
  <mergeCells count="26">
    <mergeCell ref="S47:V47"/>
    <mergeCell ref="C48:F48"/>
    <mergeCell ref="B8:B10"/>
    <mergeCell ref="A8:A10"/>
    <mergeCell ref="S48:T48"/>
    <mergeCell ref="O8:R8"/>
    <mergeCell ref="K8:N8"/>
    <mergeCell ref="G8:J8"/>
    <mergeCell ref="L9:N9"/>
    <mergeCell ref="O9:O10"/>
    <mergeCell ref="C49:F49"/>
    <mergeCell ref="C50:F50"/>
    <mergeCell ref="R51:T51"/>
    <mergeCell ref="U1:V1"/>
    <mergeCell ref="C8:F8"/>
    <mergeCell ref="D9:F9"/>
    <mergeCell ref="C9:C10"/>
    <mergeCell ref="G9:G10"/>
    <mergeCell ref="S8:V8"/>
    <mergeCell ref="S9:S10"/>
    <mergeCell ref="T9:V9"/>
    <mergeCell ref="E2:P2"/>
    <mergeCell ref="C4:Q4"/>
    <mergeCell ref="P9:R9"/>
    <mergeCell ref="H9:J9"/>
    <mergeCell ref="K9:K10"/>
  </mergeCells>
  <printOptions horizontalCentered="1"/>
  <pageMargins left="0.70866141732283472" right="0.70866141732283472" top="0.23622047244094491" bottom="0" header="0.31496062992125984" footer="0.31496062992125984"/>
  <pageSetup paperSize="9" scale="63" orientation="landscape" r:id="rId1"/>
</worksheet>
</file>

<file path=xl/worksheets/sheet69.xml><?xml version="1.0" encoding="utf-8"?>
<worksheet xmlns="http://schemas.openxmlformats.org/spreadsheetml/2006/main" xmlns:r="http://schemas.openxmlformats.org/officeDocument/2006/relationships">
  <sheetPr codeName="Sheet69">
    <tabColor rgb="FF92D050"/>
    <pageSetUpPr fitToPage="1"/>
  </sheetPr>
  <dimension ref="A1:S52"/>
  <sheetViews>
    <sheetView view="pageBreakPreview" topLeftCell="A31" zoomScaleSheetLayoutView="100" workbookViewId="0">
      <selection activeCell="K32" sqref="K32"/>
    </sheetView>
  </sheetViews>
  <sheetFormatPr defaultColWidth="8.85546875" defaultRowHeight="14.25"/>
  <cols>
    <col min="1" max="1" width="8.140625" style="72" customWidth="1"/>
    <col min="2" max="2" width="18.85546875" style="72" customWidth="1"/>
    <col min="3" max="3" width="9.85546875" style="72" customWidth="1"/>
    <col min="4" max="4" width="11.7109375" style="72" customWidth="1"/>
    <col min="5" max="5" width="11.28515625" style="72" customWidth="1"/>
    <col min="6" max="6" width="17.140625" style="72" customWidth="1"/>
    <col min="7" max="7" width="10.85546875" style="72" customWidth="1"/>
    <col min="8" max="8" width="11.5703125" style="72" customWidth="1"/>
    <col min="9" max="9" width="12.42578125" style="72" customWidth="1"/>
    <col min="10" max="10" width="18.42578125" style="72" customWidth="1"/>
    <col min="11" max="11" width="16.140625" style="72" customWidth="1"/>
    <col min="12" max="12" width="13.42578125" style="72" customWidth="1"/>
    <col min="13" max="16384" width="8.85546875" style="72"/>
  </cols>
  <sheetData>
    <row r="1" spans="1:19" ht="15">
      <c r="B1" s="15"/>
      <c r="C1" s="15"/>
      <c r="D1" s="15"/>
      <c r="E1" s="15"/>
      <c r="F1" s="1"/>
      <c r="G1" s="1"/>
      <c r="H1" s="15"/>
      <c r="J1" s="38"/>
      <c r="K1" s="962" t="s">
        <v>542</v>
      </c>
      <c r="L1" s="962"/>
    </row>
    <row r="2" spans="1:19" ht="15.75">
      <c r="B2" s="847" t="s">
        <v>0</v>
      </c>
      <c r="C2" s="847"/>
      <c r="D2" s="847"/>
      <c r="E2" s="847"/>
      <c r="F2" s="847"/>
      <c r="G2" s="847"/>
      <c r="H2" s="847"/>
      <c r="I2" s="847"/>
      <c r="J2" s="847"/>
      <c r="K2" s="847"/>
      <c r="L2" s="847"/>
    </row>
    <row r="3" spans="1:19" ht="20.25">
      <c r="B3" s="848" t="s">
        <v>745</v>
      </c>
      <c r="C3" s="848"/>
      <c r="D3" s="848"/>
      <c r="E3" s="848"/>
      <c r="F3" s="848"/>
      <c r="G3" s="848"/>
      <c r="H3" s="848"/>
      <c r="I3" s="848"/>
      <c r="J3" s="848"/>
      <c r="K3" s="848"/>
      <c r="L3" s="848"/>
    </row>
    <row r="4" spans="1:19" ht="20.25">
      <c r="B4" s="127"/>
      <c r="C4" s="127"/>
      <c r="D4" s="127"/>
      <c r="E4" s="127"/>
      <c r="F4" s="127"/>
      <c r="G4" s="127"/>
      <c r="H4" s="127"/>
      <c r="I4" s="127"/>
      <c r="J4" s="127"/>
    </row>
    <row r="5" spans="1:19" ht="15.6" customHeight="1">
      <c r="B5" s="1184" t="s">
        <v>762</v>
      </c>
      <c r="C5" s="1184"/>
      <c r="D5" s="1184"/>
      <c r="E5" s="1184"/>
      <c r="F5" s="1184"/>
      <c r="G5" s="1184"/>
      <c r="H5" s="1184"/>
      <c r="I5" s="1184"/>
      <c r="J5" s="1184"/>
      <c r="K5" s="1184"/>
      <c r="L5" s="1184"/>
    </row>
    <row r="6" spans="1:19">
      <c r="A6" s="850" t="s">
        <v>911</v>
      </c>
      <c r="B6" s="850"/>
      <c r="C6" s="29"/>
    </row>
    <row r="7" spans="1:19" ht="15" customHeight="1">
      <c r="A7" s="1192" t="s">
        <v>110</v>
      </c>
      <c r="B7" s="1166" t="s">
        <v>3</v>
      </c>
      <c r="C7" s="1195" t="s">
        <v>25</v>
      </c>
      <c r="D7" s="1195"/>
      <c r="E7" s="1195"/>
      <c r="F7" s="1195"/>
      <c r="G7" s="1181" t="s">
        <v>26</v>
      </c>
      <c r="H7" s="1182"/>
      <c r="I7" s="1182"/>
      <c r="J7" s="1183"/>
      <c r="K7" s="1166" t="s">
        <v>382</v>
      </c>
      <c r="L7" s="1161" t="s">
        <v>672</v>
      </c>
    </row>
    <row r="8" spans="1:19" ht="31.15" customHeight="1">
      <c r="A8" s="1193"/>
      <c r="B8" s="1185"/>
      <c r="C8" s="1161" t="s">
        <v>240</v>
      </c>
      <c r="D8" s="1166" t="s">
        <v>439</v>
      </c>
      <c r="E8" s="1186" t="s">
        <v>98</v>
      </c>
      <c r="F8" s="1168"/>
      <c r="G8" s="1167" t="s">
        <v>240</v>
      </c>
      <c r="H8" s="1161" t="s">
        <v>439</v>
      </c>
      <c r="I8" s="1187" t="s">
        <v>98</v>
      </c>
      <c r="J8" s="1188"/>
      <c r="K8" s="1185"/>
      <c r="L8" s="1161"/>
    </row>
    <row r="9" spans="1:19" ht="69.75" customHeight="1">
      <c r="A9" s="1194"/>
      <c r="B9" s="1167"/>
      <c r="C9" s="1161"/>
      <c r="D9" s="1167"/>
      <c r="E9" s="343" t="s">
        <v>888</v>
      </c>
      <c r="F9" s="84" t="s">
        <v>440</v>
      </c>
      <c r="G9" s="1161"/>
      <c r="H9" s="1161"/>
      <c r="I9" s="343" t="s">
        <v>888</v>
      </c>
      <c r="J9" s="84" t="s">
        <v>440</v>
      </c>
      <c r="K9" s="1167"/>
      <c r="L9" s="1161"/>
      <c r="M9" s="110"/>
      <c r="N9" s="110"/>
      <c r="O9" s="110"/>
    </row>
    <row r="10" spans="1:19">
      <c r="A10" s="153">
        <v>1</v>
      </c>
      <c r="B10" s="152">
        <v>2</v>
      </c>
      <c r="C10" s="153">
        <v>3</v>
      </c>
      <c r="D10" s="152">
        <v>4</v>
      </c>
      <c r="E10" s="153">
        <v>5</v>
      </c>
      <c r="F10" s="152">
        <v>6</v>
      </c>
      <c r="G10" s="153">
        <v>7</v>
      </c>
      <c r="H10" s="152">
        <v>8</v>
      </c>
      <c r="I10" s="153">
        <v>9</v>
      </c>
      <c r="J10" s="152">
        <v>10</v>
      </c>
      <c r="K10" s="153" t="s">
        <v>549</v>
      </c>
      <c r="L10" s="152">
        <v>12</v>
      </c>
      <c r="M10" s="110"/>
      <c r="N10" s="110"/>
      <c r="O10" s="110"/>
    </row>
    <row r="11" spans="1:19" s="107" customFormat="1">
      <c r="A11" s="120">
        <v>1</v>
      </c>
      <c r="B11" s="18" t="s">
        <v>912</v>
      </c>
      <c r="C11" s="108">
        <f>'enrolment vs availed_PY'!G11</f>
        <v>58858</v>
      </c>
      <c r="D11" s="108">
        <v>598</v>
      </c>
      <c r="E11" s="108">
        <v>598</v>
      </c>
      <c r="F11" s="108">
        <v>0</v>
      </c>
      <c r="G11" s="108">
        <v>43391</v>
      </c>
      <c r="H11" s="108">
        <v>1186</v>
      </c>
      <c r="I11" s="108">
        <v>1211</v>
      </c>
      <c r="J11" s="108">
        <v>0</v>
      </c>
      <c r="K11" s="107">
        <f>E11+F11+I11+J11</f>
        <v>1809</v>
      </c>
      <c r="L11" s="109">
        <v>0</v>
      </c>
      <c r="M11" s="110"/>
      <c r="N11" s="110"/>
      <c r="O11" s="110"/>
      <c r="P11" s="110"/>
      <c r="Q11" s="110"/>
      <c r="R11" s="110"/>
      <c r="S11" s="110"/>
    </row>
    <row r="12" spans="1:19">
      <c r="A12" s="120">
        <v>2</v>
      </c>
      <c r="B12" s="18" t="s">
        <v>913</v>
      </c>
      <c r="C12" s="108">
        <f>'enrolment vs availed_PY'!G12</f>
        <v>90238</v>
      </c>
      <c r="D12" s="108">
        <v>898</v>
      </c>
      <c r="E12" s="108">
        <v>898</v>
      </c>
      <c r="F12" s="108">
        <v>0</v>
      </c>
      <c r="G12" s="108">
        <v>61115</v>
      </c>
      <c r="H12" s="108">
        <v>1715</v>
      </c>
      <c r="I12" s="108">
        <v>1715</v>
      </c>
      <c r="J12" s="108">
        <v>0</v>
      </c>
      <c r="K12" s="107">
        <f t="shared" ref="K12:K44" si="0">E12+F12+I12+J12</f>
        <v>2613</v>
      </c>
      <c r="L12" s="109">
        <v>0</v>
      </c>
      <c r="M12" s="110"/>
      <c r="N12" s="110"/>
      <c r="O12" s="110"/>
    </row>
    <row r="13" spans="1:19">
      <c r="A13" s="120">
        <v>3</v>
      </c>
      <c r="B13" s="18" t="s">
        <v>914</v>
      </c>
      <c r="C13" s="108">
        <f>'enrolment vs availed_PY'!G13</f>
        <v>81209</v>
      </c>
      <c r="D13" s="107">
        <v>1817</v>
      </c>
      <c r="E13" s="107">
        <v>1798</v>
      </c>
      <c r="F13" s="108">
        <v>0</v>
      </c>
      <c r="G13" s="107">
        <v>51539</v>
      </c>
      <c r="H13" s="107">
        <v>2707</v>
      </c>
      <c r="I13" s="107">
        <v>2659</v>
      </c>
      <c r="J13" s="108">
        <v>0</v>
      </c>
      <c r="K13" s="107">
        <f t="shared" si="0"/>
        <v>4457</v>
      </c>
      <c r="L13" s="109">
        <v>0</v>
      </c>
      <c r="M13" s="110"/>
      <c r="N13" s="110"/>
      <c r="O13" s="110"/>
    </row>
    <row r="14" spans="1:19">
      <c r="A14" s="120">
        <v>4</v>
      </c>
      <c r="B14" s="18" t="s">
        <v>915</v>
      </c>
      <c r="C14" s="108">
        <f>'enrolment vs availed_PY'!G14</f>
        <v>70702</v>
      </c>
      <c r="D14" s="107">
        <v>1283</v>
      </c>
      <c r="E14" s="107">
        <v>1262</v>
      </c>
      <c r="F14" s="108">
        <v>0</v>
      </c>
      <c r="G14" s="107">
        <v>46808</v>
      </c>
      <c r="H14" s="107">
        <v>2217</v>
      </c>
      <c r="I14" s="107">
        <v>2186</v>
      </c>
      <c r="J14" s="108">
        <v>0</v>
      </c>
      <c r="K14" s="107">
        <f t="shared" si="0"/>
        <v>3448</v>
      </c>
      <c r="L14" s="109">
        <v>0</v>
      </c>
      <c r="M14" s="110"/>
      <c r="N14" s="110"/>
      <c r="O14" s="110"/>
    </row>
    <row r="15" spans="1:19">
      <c r="A15" s="120">
        <v>5</v>
      </c>
      <c r="B15" s="18" t="s">
        <v>916</v>
      </c>
      <c r="C15" s="108">
        <f>'enrolment vs availed_PY'!G15</f>
        <v>76412</v>
      </c>
      <c r="D15" s="107">
        <v>1362</v>
      </c>
      <c r="E15" s="107">
        <v>1163</v>
      </c>
      <c r="F15" s="108">
        <v>0</v>
      </c>
      <c r="G15" s="107">
        <v>48118</v>
      </c>
      <c r="H15" s="107">
        <v>2979</v>
      </c>
      <c r="I15" s="107">
        <v>3309</v>
      </c>
      <c r="J15" s="108">
        <v>0</v>
      </c>
      <c r="K15" s="107">
        <f t="shared" si="0"/>
        <v>4472</v>
      </c>
      <c r="L15" s="109">
        <v>0</v>
      </c>
      <c r="M15" s="110"/>
      <c r="N15" s="110"/>
      <c r="O15" s="110"/>
    </row>
    <row r="16" spans="1:19">
      <c r="A16" s="120">
        <v>6</v>
      </c>
      <c r="B16" s="18" t="s">
        <v>917</v>
      </c>
      <c r="C16" s="108">
        <f>'enrolment vs availed_PY'!G16</f>
        <v>29937</v>
      </c>
      <c r="D16" s="107">
        <v>758</v>
      </c>
      <c r="E16" s="107">
        <v>872</v>
      </c>
      <c r="F16" s="108">
        <v>0</v>
      </c>
      <c r="G16" s="107">
        <v>22495</v>
      </c>
      <c r="H16" s="107">
        <v>1337</v>
      </c>
      <c r="I16" s="107">
        <v>1204</v>
      </c>
      <c r="J16" s="108">
        <v>0</v>
      </c>
      <c r="K16" s="107">
        <f t="shared" si="0"/>
        <v>2076</v>
      </c>
      <c r="L16" s="109">
        <v>0</v>
      </c>
      <c r="M16" s="110"/>
      <c r="N16" s="110"/>
      <c r="O16" s="110"/>
    </row>
    <row r="17" spans="1:15">
      <c r="A17" s="120">
        <v>7</v>
      </c>
      <c r="B17" s="18" t="s">
        <v>918</v>
      </c>
      <c r="C17" s="108">
        <f>'enrolment vs availed_PY'!G17</f>
        <v>33727</v>
      </c>
      <c r="D17" s="107">
        <v>1280</v>
      </c>
      <c r="E17" s="107">
        <v>933</v>
      </c>
      <c r="F17" s="108">
        <v>0</v>
      </c>
      <c r="G17" s="107">
        <v>24464</v>
      </c>
      <c r="H17" s="107">
        <v>1138</v>
      </c>
      <c r="I17" s="107">
        <v>1435</v>
      </c>
      <c r="J17" s="108">
        <v>0</v>
      </c>
      <c r="K17" s="107">
        <f t="shared" si="0"/>
        <v>2368</v>
      </c>
      <c r="L17" s="109">
        <v>0</v>
      </c>
      <c r="M17" s="110"/>
      <c r="N17" s="110"/>
      <c r="O17" s="110"/>
    </row>
    <row r="18" spans="1:15">
      <c r="A18" s="120">
        <v>8</v>
      </c>
      <c r="B18" s="18" t="s">
        <v>919</v>
      </c>
      <c r="C18" s="108">
        <f>'enrolment vs availed_PY'!G18</f>
        <v>49843</v>
      </c>
      <c r="D18" s="107">
        <v>1679</v>
      </c>
      <c r="E18" s="107">
        <v>1818</v>
      </c>
      <c r="F18" s="108">
        <v>0</v>
      </c>
      <c r="G18" s="107">
        <v>34332</v>
      </c>
      <c r="H18" s="107">
        <v>1993</v>
      </c>
      <c r="I18" s="107">
        <v>1825</v>
      </c>
      <c r="J18" s="108">
        <v>0</v>
      </c>
      <c r="K18" s="107">
        <f t="shared" si="0"/>
        <v>3643</v>
      </c>
      <c r="L18" s="109">
        <v>0</v>
      </c>
      <c r="M18" s="110"/>
      <c r="N18" s="110"/>
      <c r="O18" s="110"/>
    </row>
    <row r="19" spans="1:15">
      <c r="A19" s="120">
        <v>9</v>
      </c>
      <c r="B19" s="18" t="s">
        <v>920</v>
      </c>
      <c r="C19" s="108">
        <f>'enrolment vs availed_PY'!G19</f>
        <v>41041</v>
      </c>
      <c r="D19" s="107">
        <v>1486</v>
      </c>
      <c r="E19" s="107">
        <v>1534</v>
      </c>
      <c r="F19" s="108">
        <v>0</v>
      </c>
      <c r="G19" s="107">
        <v>28506</v>
      </c>
      <c r="H19" s="107">
        <v>1290</v>
      </c>
      <c r="I19" s="107">
        <v>1200</v>
      </c>
      <c r="J19" s="108">
        <v>0</v>
      </c>
      <c r="K19" s="107">
        <f t="shared" si="0"/>
        <v>2734</v>
      </c>
      <c r="L19" s="109">
        <v>0</v>
      </c>
      <c r="M19" s="110"/>
      <c r="N19" s="110"/>
      <c r="O19" s="110"/>
    </row>
    <row r="20" spans="1:15">
      <c r="A20" s="120">
        <v>10</v>
      </c>
      <c r="B20" s="18" t="s">
        <v>921</v>
      </c>
      <c r="C20" s="108">
        <f>'enrolment vs availed_PY'!G20</f>
        <v>57805</v>
      </c>
      <c r="D20" s="107">
        <v>1841</v>
      </c>
      <c r="E20" s="107">
        <v>1596</v>
      </c>
      <c r="F20" s="108">
        <v>0</v>
      </c>
      <c r="G20" s="107">
        <v>44432</v>
      </c>
      <c r="H20" s="107">
        <v>2289</v>
      </c>
      <c r="I20" s="107">
        <v>2456</v>
      </c>
      <c r="J20" s="108">
        <v>0</v>
      </c>
      <c r="K20" s="107">
        <f t="shared" si="0"/>
        <v>4052</v>
      </c>
      <c r="L20" s="109">
        <v>0</v>
      </c>
      <c r="M20" s="110"/>
      <c r="N20" s="110"/>
      <c r="O20" s="110"/>
    </row>
    <row r="21" spans="1:15">
      <c r="A21" s="120">
        <v>11</v>
      </c>
      <c r="B21" s="18" t="s">
        <v>922</v>
      </c>
      <c r="C21" s="108">
        <f>'enrolment vs availed_PY'!G21</f>
        <v>42244</v>
      </c>
      <c r="D21" s="107">
        <v>1034</v>
      </c>
      <c r="E21" s="107">
        <v>916</v>
      </c>
      <c r="F21" s="108">
        <v>0</v>
      </c>
      <c r="G21" s="107">
        <v>26773</v>
      </c>
      <c r="H21" s="107">
        <v>1659</v>
      </c>
      <c r="I21" s="107">
        <v>1744</v>
      </c>
      <c r="J21" s="108">
        <v>0</v>
      </c>
      <c r="K21" s="107">
        <f t="shared" si="0"/>
        <v>2660</v>
      </c>
      <c r="L21" s="109">
        <v>0</v>
      </c>
      <c r="M21" s="110"/>
      <c r="N21" s="110"/>
      <c r="O21" s="110"/>
    </row>
    <row r="22" spans="1:15">
      <c r="A22" s="120">
        <v>12</v>
      </c>
      <c r="B22" s="18" t="s">
        <v>923</v>
      </c>
      <c r="C22" s="108">
        <f>'enrolment vs availed_PY'!G22</f>
        <v>97183</v>
      </c>
      <c r="D22" s="107">
        <v>1986</v>
      </c>
      <c r="E22" s="107">
        <v>1530</v>
      </c>
      <c r="F22" s="108">
        <v>0</v>
      </c>
      <c r="G22" s="107">
        <v>72350</v>
      </c>
      <c r="H22" s="107">
        <v>3220</v>
      </c>
      <c r="I22" s="107">
        <v>3589</v>
      </c>
      <c r="J22" s="108">
        <v>0</v>
      </c>
      <c r="K22" s="107">
        <f t="shared" si="0"/>
        <v>5119</v>
      </c>
      <c r="L22" s="109">
        <v>0</v>
      </c>
      <c r="M22" s="110"/>
      <c r="N22" s="110"/>
      <c r="O22" s="110"/>
    </row>
    <row r="23" spans="1:15">
      <c r="A23" s="120">
        <v>13</v>
      </c>
      <c r="B23" s="18" t="s">
        <v>924</v>
      </c>
      <c r="C23" s="108">
        <f>'enrolment vs availed_PY'!G23</f>
        <v>52173</v>
      </c>
      <c r="D23" s="107">
        <v>1047</v>
      </c>
      <c r="E23" s="107">
        <v>923</v>
      </c>
      <c r="F23" s="108">
        <v>0</v>
      </c>
      <c r="G23" s="107">
        <v>36845</v>
      </c>
      <c r="H23" s="107">
        <v>2560</v>
      </c>
      <c r="I23" s="107">
        <v>2589</v>
      </c>
      <c r="J23" s="108">
        <v>0</v>
      </c>
      <c r="K23" s="107">
        <f t="shared" si="0"/>
        <v>3512</v>
      </c>
      <c r="L23" s="109">
        <v>0</v>
      </c>
      <c r="M23" s="110"/>
      <c r="N23" s="110"/>
      <c r="O23" s="110"/>
    </row>
    <row r="24" spans="1:15">
      <c r="A24" s="120">
        <v>14</v>
      </c>
      <c r="B24" s="18" t="s">
        <v>925</v>
      </c>
      <c r="C24" s="108">
        <f>'enrolment vs availed_PY'!G24</f>
        <v>38307</v>
      </c>
      <c r="D24" s="107">
        <v>603</v>
      </c>
      <c r="E24" s="107">
        <v>477</v>
      </c>
      <c r="F24" s="108">
        <v>0</v>
      </c>
      <c r="G24" s="107">
        <v>26447</v>
      </c>
      <c r="H24" s="107">
        <v>1367</v>
      </c>
      <c r="I24" s="107">
        <v>1455</v>
      </c>
      <c r="J24" s="108">
        <v>0</v>
      </c>
      <c r="K24" s="107">
        <f t="shared" si="0"/>
        <v>1932</v>
      </c>
      <c r="L24" s="109">
        <v>0</v>
      </c>
      <c r="M24" s="110"/>
      <c r="N24" s="110"/>
      <c r="O24" s="110"/>
    </row>
    <row r="25" spans="1:15">
      <c r="A25" s="120">
        <v>15</v>
      </c>
      <c r="B25" s="18" t="s">
        <v>926</v>
      </c>
      <c r="C25" s="108">
        <f>'enrolment vs availed_PY'!G25</f>
        <v>14294</v>
      </c>
      <c r="D25" s="107">
        <v>142</v>
      </c>
      <c r="E25" s="107">
        <v>142</v>
      </c>
      <c r="F25" s="108">
        <v>0</v>
      </c>
      <c r="G25" s="107">
        <v>10992</v>
      </c>
      <c r="H25" s="107">
        <v>853</v>
      </c>
      <c r="I25" s="107">
        <v>803</v>
      </c>
      <c r="J25" s="108">
        <v>0</v>
      </c>
      <c r="K25" s="107">
        <f t="shared" si="0"/>
        <v>945</v>
      </c>
      <c r="L25" s="109">
        <v>0</v>
      </c>
      <c r="M25" s="110"/>
      <c r="N25" s="110"/>
      <c r="O25" s="110"/>
    </row>
    <row r="26" spans="1:15">
      <c r="A26" s="120">
        <v>16</v>
      </c>
      <c r="B26" s="18" t="s">
        <v>927</v>
      </c>
      <c r="C26" s="108">
        <f>'enrolment vs availed_PY'!G26</f>
        <v>54089</v>
      </c>
      <c r="D26" s="107">
        <v>1486</v>
      </c>
      <c r="E26" s="107">
        <v>1396</v>
      </c>
      <c r="F26" s="108">
        <v>0</v>
      </c>
      <c r="G26" s="107">
        <v>37294</v>
      </c>
      <c r="H26" s="107">
        <v>2871</v>
      </c>
      <c r="I26" s="107">
        <v>2854</v>
      </c>
      <c r="J26" s="108">
        <v>0</v>
      </c>
      <c r="K26" s="107">
        <f t="shared" si="0"/>
        <v>4250</v>
      </c>
      <c r="L26" s="109">
        <v>0</v>
      </c>
      <c r="M26" s="110"/>
      <c r="N26" s="110"/>
      <c r="O26" s="110"/>
    </row>
    <row r="27" spans="1:15">
      <c r="A27" s="120">
        <v>17</v>
      </c>
      <c r="B27" s="18" t="s">
        <v>928</v>
      </c>
      <c r="C27" s="108">
        <f>'enrolment vs availed_PY'!G27</f>
        <v>38721</v>
      </c>
      <c r="D27" s="107">
        <v>938</v>
      </c>
      <c r="E27" s="107">
        <v>869</v>
      </c>
      <c r="F27" s="108">
        <v>0</v>
      </c>
      <c r="G27" s="107">
        <v>25679</v>
      </c>
      <c r="H27" s="107">
        <v>1830</v>
      </c>
      <c r="I27" s="107">
        <v>1810</v>
      </c>
      <c r="J27" s="108">
        <v>0</v>
      </c>
      <c r="K27" s="107">
        <f t="shared" si="0"/>
        <v>2679</v>
      </c>
      <c r="L27" s="109">
        <v>0</v>
      </c>
      <c r="M27" s="110"/>
      <c r="N27" s="110"/>
      <c r="O27" s="110"/>
    </row>
    <row r="28" spans="1:15">
      <c r="A28" s="120">
        <v>18</v>
      </c>
      <c r="B28" s="18" t="s">
        <v>929</v>
      </c>
      <c r="C28" s="108">
        <f>'enrolment vs availed_PY'!G28</f>
        <v>66262</v>
      </c>
      <c r="D28" s="107">
        <v>712</v>
      </c>
      <c r="E28" s="107">
        <v>332</v>
      </c>
      <c r="F28" s="108">
        <v>0</v>
      </c>
      <c r="G28" s="107">
        <v>48055</v>
      </c>
      <c r="H28" s="107">
        <v>2542</v>
      </c>
      <c r="I28" s="107">
        <v>2881</v>
      </c>
      <c r="J28" s="108">
        <v>0</v>
      </c>
      <c r="K28" s="107">
        <f t="shared" si="0"/>
        <v>3213</v>
      </c>
      <c r="L28" s="109">
        <v>0</v>
      </c>
      <c r="M28" s="110"/>
      <c r="N28" s="110"/>
      <c r="O28" s="110"/>
    </row>
    <row r="29" spans="1:15">
      <c r="A29" s="120">
        <v>19</v>
      </c>
      <c r="B29" s="18" t="s">
        <v>930</v>
      </c>
      <c r="C29" s="108">
        <f>'enrolment vs availed_PY'!G29</f>
        <v>36543</v>
      </c>
      <c r="D29" s="107">
        <v>735</v>
      </c>
      <c r="E29" s="107">
        <v>689</v>
      </c>
      <c r="F29" s="108">
        <v>0</v>
      </c>
      <c r="G29" s="107">
        <v>26208</v>
      </c>
      <c r="H29" s="107">
        <v>1240</v>
      </c>
      <c r="I29" s="107">
        <v>1251</v>
      </c>
      <c r="J29" s="108">
        <v>0</v>
      </c>
      <c r="K29" s="107">
        <f t="shared" si="0"/>
        <v>1940</v>
      </c>
      <c r="L29" s="109">
        <v>0</v>
      </c>
      <c r="M29" s="110"/>
      <c r="N29" s="110"/>
      <c r="O29" s="110"/>
    </row>
    <row r="30" spans="1:15">
      <c r="A30" s="120">
        <v>20</v>
      </c>
      <c r="B30" s="18" t="s">
        <v>931</v>
      </c>
      <c r="C30" s="108">
        <f>'enrolment vs availed_PY'!G30</f>
        <v>94637</v>
      </c>
      <c r="D30" s="107">
        <v>1289</v>
      </c>
      <c r="E30" s="107">
        <v>930</v>
      </c>
      <c r="F30" s="108">
        <v>0</v>
      </c>
      <c r="G30" s="107">
        <v>63395</v>
      </c>
      <c r="H30" s="107">
        <v>1429</v>
      </c>
      <c r="I30" s="107">
        <v>1922</v>
      </c>
      <c r="J30" s="108">
        <v>0</v>
      </c>
      <c r="K30" s="107">
        <f t="shared" si="0"/>
        <v>2852</v>
      </c>
      <c r="L30" s="109">
        <v>0</v>
      </c>
      <c r="M30" s="110"/>
      <c r="N30" s="110"/>
      <c r="O30" s="110"/>
    </row>
    <row r="31" spans="1:15">
      <c r="A31" s="120">
        <v>21</v>
      </c>
      <c r="B31" s="18" t="s">
        <v>932</v>
      </c>
      <c r="C31" s="108">
        <f>'enrolment vs availed_PY'!G31</f>
        <v>28608</v>
      </c>
      <c r="D31" s="107">
        <v>599</v>
      </c>
      <c r="E31" s="107">
        <v>599</v>
      </c>
      <c r="F31" s="108">
        <v>0</v>
      </c>
      <c r="G31" s="107">
        <v>20021</v>
      </c>
      <c r="H31" s="107">
        <v>1362</v>
      </c>
      <c r="I31" s="107">
        <v>1336</v>
      </c>
      <c r="J31" s="108">
        <v>0</v>
      </c>
      <c r="K31" s="107">
        <f t="shared" si="0"/>
        <v>1935</v>
      </c>
      <c r="L31" s="109">
        <v>0</v>
      </c>
      <c r="M31" s="110"/>
      <c r="N31" s="110"/>
      <c r="O31" s="110"/>
    </row>
    <row r="32" spans="1:15">
      <c r="A32" s="120">
        <v>22</v>
      </c>
      <c r="B32" s="18" t="s">
        <v>933</v>
      </c>
      <c r="C32" s="108">
        <f>'enrolment vs availed_PY'!G32</f>
        <v>44609</v>
      </c>
      <c r="D32" s="107">
        <v>886</v>
      </c>
      <c r="E32" s="107">
        <v>886</v>
      </c>
      <c r="F32" s="108">
        <v>0</v>
      </c>
      <c r="G32" s="107">
        <v>26772</v>
      </c>
      <c r="H32" s="107">
        <v>1509</v>
      </c>
      <c r="I32" s="107">
        <v>1491</v>
      </c>
      <c r="J32" s="108">
        <v>0</v>
      </c>
      <c r="K32" s="107">
        <f t="shared" si="0"/>
        <v>2377</v>
      </c>
      <c r="L32" s="109">
        <v>0</v>
      </c>
    </row>
    <row r="33" spans="1:16">
      <c r="A33" s="120">
        <v>23</v>
      </c>
      <c r="B33" s="18" t="s">
        <v>934</v>
      </c>
      <c r="C33" s="108">
        <f>'enrolment vs availed_PY'!G33</f>
        <v>99466</v>
      </c>
      <c r="D33" s="107">
        <v>1986</v>
      </c>
      <c r="E33" s="107">
        <v>1986</v>
      </c>
      <c r="F33" s="108">
        <v>0</v>
      </c>
      <c r="G33" s="107">
        <v>59551</v>
      </c>
      <c r="H33" s="107">
        <v>1916</v>
      </c>
      <c r="I33" s="107">
        <v>1916</v>
      </c>
      <c r="J33" s="108">
        <v>0</v>
      </c>
      <c r="K33" s="107">
        <f t="shared" si="0"/>
        <v>3902</v>
      </c>
      <c r="L33" s="109">
        <v>0</v>
      </c>
      <c r="N33" s="72" t="s">
        <v>10</v>
      </c>
    </row>
    <row r="34" spans="1:16">
      <c r="A34" s="120">
        <v>24</v>
      </c>
      <c r="B34" s="18" t="s">
        <v>935</v>
      </c>
      <c r="C34" s="108">
        <f>'enrolment vs availed_PY'!G34</f>
        <v>66592</v>
      </c>
      <c r="D34" s="107">
        <v>990</v>
      </c>
      <c r="E34" s="107">
        <v>387</v>
      </c>
      <c r="F34" s="108">
        <v>0</v>
      </c>
      <c r="G34" s="107">
        <v>40485</v>
      </c>
      <c r="H34" s="107">
        <v>1397</v>
      </c>
      <c r="I34" s="107">
        <v>2076</v>
      </c>
      <c r="J34" s="108">
        <v>0</v>
      </c>
      <c r="K34" s="107">
        <f t="shared" si="0"/>
        <v>2463</v>
      </c>
      <c r="L34" s="109">
        <v>0</v>
      </c>
    </row>
    <row r="35" spans="1:16">
      <c r="A35" s="120">
        <v>25</v>
      </c>
      <c r="B35" s="18" t="s">
        <v>936</v>
      </c>
      <c r="C35" s="108">
        <f>'enrolment vs availed_PY'!G35</f>
        <v>127588</v>
      </c>
      <c r="D35" s="107">
        <v>742</v>
      </c>
      <c r="E35" s="107">
        <v>782</v>
      </c>
      <c r="F35" s="108">
        <v>0</v>
      </c>
      <c r="G35" s="107">
        <v>82390</v>
      </c>
      <c r="H35" s="107">
        <v>3415</v>
      </c>
      <c r="I35" s="107">
        <v>3356</v>
      </c>
      <c r="J35" s="108">
        <v>0</v>
      </c>
      <c r="K35" s="107">
        <f>E35+F35+I35+J35</f>
        <v>4138</v>
      </c>
      <c r="L35" s="109">
        <v>0</v>
      </c>
    </row>
    <row r="36" spans="1:16">
      <c r="A36" s="120">
        <v>26</v>
      </c>
      <c r="B36" s="18" t="s">
        <v>937</v>
      </c>
      <c r="C36" s="108">
        <f>'enrolment vs availed_PY'!G36</f>
        <v>173794</v>
      </c>
      <c r="D36" s="107">
        <v>1296</v>
      </c>
      <c r="E36" s="107">
        <v>1119</v>
      </c>
      <c r="F36" s="108">
        <v>0</v>
      </c>
      <c r="G36" s="107">
        <v>111613</v>
      </c>
      <c r="H36" s="107">
        <v>4323</v>
      </c>
      <c r="I36" s="107">
        <v>4510</v>
      </c>
      <c r="J36" s="108">
        <v>0</v>
      </c>
      <c r="K36" s="107">
        <f t="shared" si="0"/>
        <v>5629</v>
      </c>
      <c r="L36" s="109">
        <v>0</v>
      </c>
    </row>
    <row r="37" spans="1:16">
      <c r="A37" s="120">
        <v>27</v>
      </c>
      <c r="B37" s="18" t="s">
        <v>938</v>
      </c>
      <c r="C37" s="108">
        <f>'enrolment vs availed_PY'!G37</f>
        <v>131901</v>
      </c>
      <c r="D37" s="107">
        <v>1470</v>
      </c>
      <c r="E37" s="107">
        <v>1407</v>
      </c>
      <c r="F37" s="108">
        <v>0</v>
      </c>
      <c r="G37" s="107">
        <v>85763</v>
      </c>
      <c r="H37" s="107">
        <v>3206</v>
      </c>
      <c r="I37" s="107">
        <v>3276</v>
      </c>
      <c r="J37" s="108">
        <v>0</v>
      </c>
      <c r="K37" s="107">
        <f t="shared" si="0"/>
        <v>4683</v>
      </c>
      <c r="L37" s="109">
        <v>0</v>
      </c>
    </row>
    <row r="38" spans="1:16">
      <c r="A38" s="120">
        <v>28</v>
      </c>
      <c r="B38" s="18" t="s">
        <v>939</v>
      </c>
      <c r="C38" s="108">
        <f>'enrolment vs availed_PY'!G38</f>
        <v>167761</v>
      </c>
      <c r="D38" s="107">
        <v>3504</v>
      </c>
      <c r="E38" s="107">
        <v>1747</v>
      </c>
      <c r="F38" s="108">
        <v>0</v>
      </c>
      <c r="G38" s="107">
        <v>102425</v>
      </c>
      <c r="H38" s="107">
        <v>2448</v>
      </c>
      <c r="I38" s="107">
        <v>4261</v>
      </c>
      <c r="J38" s="108">
        <v>0</v>
      </c>
      <c r="K38" s="107">
        <f t="shared" si="0"/>
        <v>6008</v>
      </c>
      <c r="L38" s="109">
        <v>0</v>
      </c>
    </row>
    <row r="39" spans="1:16">
      <c r="A39" s="120">
        <v>29</v>
      </c>
      <c r="B39" s="18" t="s">
        <v>940</v>
      </c>
      <c r="C39" s="108">
        <f>'enrolment vs availed_PY'!G39</f>
        <v>93003</v>
      </c>
      <c r="D39" s="107">
        <v>1796</v>
      </c>
      <c r="E39" s="107">
        <v>937</v>
      </c>
      <c r="F39" s="108">
        <v>0</v>
      </c>
      <c r="G39" s="107">
        <v>58280</v>
      </c>
      <c r="H39" s="107">
        <v>2498</v>
      </c>
      <c r="I39" s="107">
        <v>3355</v>
      </c>
      <c r="J39" s="108">
        <v>0</v>
      </c>
      <c r="K39" s="107">
        <f t="shared" si="0"/>
        <v>4292</v>
      </c>
      <c r="L39" s="109">
        <v>0</v>
      </c>
    </row>
    <row r="40" spans="1:16">
      <c r="A40" s="120">
        <v>30</v>
      </c>
      <c r="B40" s="18" t="s">
        <v>941</v>
      </c>
      <c r="C40" s="108">
        <f>'enrolment vs availed_PY'!G40</f>
        <v>167927</v>
      </c>
      <c r="D40" s="107">
        <v>2082</v>
      </c>
      <c r="E40" s="107">
        <v>1882</v>
      </c>
      <c r="F40" s="108">
        <v>0</v>
      </c>
      <c r="G40" s="107">
        <v>105327</v>
      </c>
      <c r="H40" s="107">
        <v>3169</v>
      </c>
      <c r="I40" s="107">
        <v>3518</v>
      </c>
      <c r="J40" s="108">
        <v>0</v>
      </c>
      <c r="K40" s="107">
        <f t="shared" si="0"/>
        <v>5400</v>
      </c>
      <c r="L40" s="109">
        <v>0</v>
      </c>
    </row>
    <row r="41" spans="1:16">
      <c r="A41" s="120">
        <v>31</v>
      </c>
      <c r="B41" s="18" t="s">
        <v>942</v>
      </c>
      <c r="C41" s="108">
        <f>'enrolment vs availed_PY'!G41</f>
        <v>165725</v>
      </c>
      <c r="D41" s="107">
        <v>1766</v>
      </c>
      <c r="E41" s="107">
        <v>1340</v>
      </c>
      <c r="F41" s="108">
        <v>0</v>
      </c>
      <c r="G41" s="107">
        <v>97217</v>
      </c>
      <c r="H41" s="107">
        <v>3395</v>
      </c>
      <c r="I41" s="107">
        <v>4089</v>
      </c>
      <c r="J41" s="108">
        <v>0</v>
      </c>
      <c r="K41" s="107">
        <f t="shared" si="0"/>
        <v>5429</v>
      </c>
      <c r="L41" s="109">
        <v>0</v>
      </c>
    </row>
    <row r="42" spans="1:16">
      <c r="A42" s="120">
        <v>32</v>
      </c>
      <c r="B42" s="18" t="s">
        <v>943</v>
      </c>
      <c r="C42" s="108">
        <f>'enrolment vs availed_PY'!G42</f>
        <v>107707</v>
      </c>
      <c r="D42" s="107">
        <v>1139</v>
      </c>
      <c r="E42" s="107">
        <v>1139</v>
      </c>
      <c r="F42" s="108">
        <v>0</v>
      </c>
      <c r="G42" s="107">
        <v>63358</v>
      </c>
      <c r="H42" s="107">
        <v>2081</v>
      </c>
      <c r="I42" s="107">
        <v>2153</v>
      </c>
      <c r="J42" s="108">
        <v>0</v>
      </c>
      <c r="K42" s="107">
        <f t="shared" si="0"/>
        <v>3292</v>
      </c>
      <c r="L42" s="109">
        <v>0</v>
      </c>
    </row>
    <row r="43" spans="1:16">
      <c r="A43" s="120">
        <v>33</v>
      </c>
      <c r="B43" s="18" t="s">
        <v>944</v>
      </c>
      <c r="C43" s="108">
        <f>'enrolment vs availed_PY'!G43</f>
        <v>144787</v>
      </c>
      <c r="D43" s="107">
        <v>2050</v>
      </c>
      <c r="E43" s="107">
        <v>2050</v>
      </c>
      <c r="F43" s="108">
        <v>0</v>
      </c>
      <c r="G43" s="107">
        <v>81203</v>
      </c>
      <c r="H43" s="107">
        <v>2774</v>
      </c>
      <c r="I43" s="107">
        <v>2774</v>
      </c>
      <c r="J43" s="108">
        <v>0</v>
      </c>
      <c r="K43" s="107">
        <f t="shared" si="0"/>
        <v>4824</v>
      </c>
      <c r="L43" s="109">
        <v>0</v>
      </c>
    </row>
    <row r="44" spans="1:16">
      <c r="A44" s="120">
        <v>34</v>
      </c>
      <c r="B44" s="18" t="s">
        <v>945</v>
      </c>
      <c r="C44" s="108">
        <f>'enrolment vs availed_PY'!G44</f>
        <v>99445</v>
      </c>
      <c r="D44" s="107">
        <v>834</v>
      </c>
      <c r="E44" s="107">
        <v>865</v>
      </c>
      <c r="F44" s="108">
        <v>0</v>
      </c>
      <c r="G44" s="107">
        <v>54946</v>
      </c>
      <c r="H44" s="107">
        <v>1898</v>
      </c>
      <c r="I44" s="107">
        <v>1988</v>
      </c>
      <c r="J44" s="108">
        <v>0</v>
      </c>
      <c r="K44" s="107">
        <f t="shared" si="0"/>
        <v>2853</v>
      </c>
      <c r="L44" s="109">
        <v>0</v>
      </c>
    </row>
    <row r="45" spans="1:16" s="446" customFormat="1" ht="15">
      <c r="A45" s="286" t="s">
        <v>17</v>
      </c>
      <c r="B45" s="286"/>
      <c r="C45" s="286">
        <f t="shared" ref="C45:L45" si="1">SUM(C11:C44)</f>
        <v>2743138</v>
      </c>
      <c r="D45" s="286">
        <f t="shared" si="1"/>
        <v>44114</v>
      </c>
      <c r="E45" s="286">
        <f t="shared" si="1"/>
        <v>37802</v>
      </c>
      <c r="F45" s="286">
        <f t="shared" si="1"/>
        <v>0</v>
      </c>
      <c r="G45" s="286">
        <f t="shared" si="1"/>
        <v>1768589</v>
      </c>
      <c r="H45" s="286">
        <f t="shared" si="1"/>
        <v>73813</v>
      </c>
      <c r="I45" s="286">
        <f t="shared" si="1"/>
        <v>80197</v>
      </c>
      <c r="J45" s="286">
        <f t="shared" si="1"/>
        <v>0</v>
      </c>
      <c r="K45" s="286">
        <f t="shared" si="1"/>
        <v>117999</v>
      </c>
      <c r="L45" s="286">
        <f t="shared" si="1"/>
        <v>0</v>
      </c>
    </row>
    <row r="46" spans="1:16" ht="17.25" customHeight="1">
      <c r="A46" s="1189" t="s">
        <v>116</v>
      </c>
      <c r="B46" s="1190"/>
      <c r="C46" s="1190"/>
      <c r="D46" s="1190"/>
      <c r="E46" s="1190"/>
      <c r="F46" s="1190"/>
      <c r="G46" s="1190"/>
      <c r="H46" s="1190"/>
      <c r="I46" s="1190"/>
      <c r="J46" s="1190"/>
      <c r="K46" s="1191"/>
      <c r="L46" s="1191"/>
    </row>
    <row r="48" spans="1:16" s="15" customFormat="1" ht="15">
      <c r="A48" s="278"/>
      <c r="B48" s="278"/>
      <c r="C48" s="278"/>
      <c r="D48" s="268"/>
      <c r="E48" s="268"/>
      <c r="F48" s="268"/>
      <c r="G48" s="268"/>
      <c r="H48" s="268"/>
      <c r="I48" s="1136" t="s">
        <v>12</v>
      </c>
      <c r="J48" s="1136"/>
      <c r="K48" s="1136"/>
      <c r="L48" s="268"/>
      <c r="O48" s="268"/>
      <c r="P48" s="268"/>
    </row>
    <row r="49" spans="1:16" s="15" customFormat="1" ht="15" customHeight="1">
      <c r="A49" s="268"/>
      <c r="B49" s="268"/>
      <c r="C49" s="268"/>
      <c r="D49" s="1133" t="s">
        <v>906</v>
      </c>
      <c r="E49" s="1133"/>
      <c r="F49" s="1133"/>
      <c r="G49" s="440"/>
      <c r="H49" s="268"/>
      <c r="I49" s="1136" t="s">
        <v>13</v>
      </c>
      <c r="J49" s="1136"/>
      <c r="K49" s="1136"/>
      <c r="L49" s="441"/>
      <c r="O49" s="268"/>
      <c r="P49" s="268"/>
    </row>
    <row r="50" spans="1:16" ht="15" customHeight="1">
      <c r="A50" s="268"/>
      <c r="B50" s="268"/>
      <c r="C50" s="268"/>
      <c r="D50" s="1148" t="s">
        <v>907</v>
      </c>
      <c r="E50" s="1148"/>
      <c r="F50" s="1148"/>
      <c r="G50" s="442"/>
      <c r="H50" s="268"/>
      <c r="I50" s="1136" t="s">
        <v>18</v>
      </c>
      <c r="J50" s="1136"/>
      <c r="K50" s="1136"/>
      <c r="L50" s="441"/>
      <c r="O50" s="268"/>
      <c r="P50" s="268"/>
    </row>
    <row r="51" spans="1:16" ht="15">
      <c r="A51" s="268"/>
      <c r="B51" s="268"/>
      <c r="C51" s="268"/>
      <c r="D51" s="1148" t="s">
        <v>908</v>
      </c>
      <c r="E51" s="1148"/>
      <c r="F51" s="1148"/>
      <c r="G51" s="442"/>
      <c r="H51" s="268"/>
      <c r="I51" s="801" t="s">
        <v>84</v>
      </c>
      <c r="J51" s="801"/>
      <c r="K51" s="801"/>
      <c r="L51" s="444"/>
      <c r="O51" s="268"/>
      <c r="P51" s="268"/>
    </row>
    <row r="52" spans="1:16" ht="15">
      <c r="A52" s="440" t="s">
        <v>11</v>
      </c>
      <c r="B52" s="290"/>
      <c r="C52" s="443"/>
      <c r="D52" s="440"/>
      <c r="E52" s="440"/>
      <c r="F52" s="440"/>
      <c r="G52" s="440"/>
      <c r="H52" s="268"/>
      <c r="I52" s="268"/>
      <c r="J52" s="268"/>
      <c r="K52" s="268"/>
      <c r="L52" s="268"/>
      <c r="M52" s="268"/>
      <c r="N52" s="268"/>
      <c r="O52" s="268"/>
      <c r="P52" s="268"/>
    </row>
  </sheetData>
  <mergeCells count="25">
    <mergeCell ref="A46:L46"/>
    <mergeCell ref="A7:A9"/>
    <mergeCell ref="B7:B9"/>
    <mergeCell ref="C8:C9"/>
    <mergeCell ref="H8:H9"/>
    <mergeCell ref="G8:G9"/>
    <mergeCell ref="C7:F7"/>
    <mergeCell ref="D8:D9"/>
    <mergeCell ref="K1:L1"/>
    <mergeCell ref="G7:J7"/>
    <mergeCell ref="A6:B6"/>
    <mergeCell ref="B5:L5"/>
    <mergeCell ref="K7:K9"/>
    <mergeCell ref="E8:F8"/>
    <mergeCell ref="I8:J8"/>
    <mergeCell ref="L7:L9"/>
    <mergeCell ref="B2:L2"/>
    <mergeCell ref="B3:L3"/>
    <mergeCell ref="D50:F50"/>
    <mergeCell ref="D51:F51"/>
    <mergeCell ref="I48:K48"/>
    <mergeCell ref="I49:K49"/>
    <mergeCell ref="I50:K50"/>
    <mergeCell ref="I51:K51"/>
    <mergeCell ref="D49:F49"/>
  </mergeCells>
  <phoneticPr fontId="0" type="noConversion"/>
  <printOptions horizontalCentered="1"/>
  <pageMargins left="0.70866141732283472" right="0.70866141732283472" top="0.23622047244094491" bottom="0"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M33"/>
  <sheetViews>
    <sheetView view="pageBreakPreview" topLeftCell="A13" zoomScale="90" zoomScaleNormal="90" zoomScaleSheetLayoutView="90" workbookViewId="0">
      <selection activeCell="K22" sqref="K22"/>
    </sheetView>
  </sheetViews>
  <sheetFormatPr defaultRowHeight="12.75"/>
  <cols>
    <col min="1" max="1" width="8.28515625" style="86" customWidth="1"/>
    <col min="2" max="2" width="16.42578125" style="86" customWidth="1"/>
    <col min="3" max="3" width="12.42578125" style="86" customWidth="1"/>
    <col min="4" max="4" width="13.7109375" style="86" customWidth="1"/>
    <col min="5" max="5" width="15.7109375" style="86" customWidth="1"/>
    <col min="6" max="6" width="12.85546875" style="86" customWidth="1"/>
    <col min="7" max="7" width="12.7109375" style="86" customWidth="1"/>
    <col min="8" max="8" width="14.28515625" style="86" customWidth="1"/>
    <col min="9" max="9" width="15.5703125" style="86" customWidth="1"/>
    <col min="10" max="10" width="13.42578125" style="86" customWidth="1"/>
    <col min="11" max="11" width="13.140625" style="86" customWidth="1"/>
    <col min="12" max="12" width="9.5703125" style="86" customWidth="1"/>
    <col min="13" max="14" width="11.140625" style="86" bestFit="1" customWidth="1"/>
    <col min="15" max="255" width="9.140625" style="86"/>
    <col min="256" max="256" width="8.28515625" style="86" customWidth="1"/>
    <col min="257" max="257" width="15.5703125" style="86" customWidth="1"/>
    <col min="258" max="258" width="15.28515625" style="86" customWidth="1"/>
    <col min="259" max="259" width="17.42578125" style="86" customWidth="1"/>
    <col min="260" max="260" width="16.140625" style="86" customWidth="1"/>
    <col min="261" max="261" width="16" style="86" customWidth="1"/>
    <col min="262" max="262" width="14.85546875" style="86" customWidth="1"/>
    <col min="263" max="263" width="17.140625" style="86" customWidth="1"/>
    <col min="264" max="264" width="15" style="86" customWidth="1"/>
    <col min="265" max="265" width="12.42578125" style="86" customWidth="1"/>
    <col min="266" max="266" width="12" style="86" customWidth="1"/>
    <col min="267" max="267" width="11.85546875" style="86" customWidth="1"/>
    <col min="268" max="511" width="9.140625" style="86"/>
    <col min="512" max="512" width="8.28515625" style="86" customWidth="1"/>
    <col min="513" max="513" width="15.5703125" style="86" customWidth="1"/>
    <col min="514" max="514" width="15.28515625" style="86" customWidth="1"/>
    <col min="515" max="515" width="17.42578125" style="86" customWidth="1"/>
    <col min="516" max="516" width="16.140625" style="86" customWidth="1"/>
    <col min="517" max="517" width="16" style="86" customWidth="1"/>
    <col min="518" max="518" width="14.85546875" style="86" customWidth="1"/>
    <col min="519" max="519" width="17.140625" style="86" customWidth="1"/>
    <col min="520" max="520" width="15" style="86" customWidth="1"/>
    <col min="521" max="521" width="12.42578125" style="86" customWidth="1"/>
    <col min="522" max="522" width="12" style="86" customWidth="1"/>
    <col min="523" max="523" width="11.85546875" style="86" customWidth="1"/>
    <col min="524" max="767" width="9.140625" style="86"/>
    <col min="768" max="768" width="8.28515625" style="86" customWidth="1"/>
    <col min="769" max="769" width="15.5703125" style="86" customWidth="1"/>
    <col min="770" max="770" width="15.28515625" style="86" customWidth="1"/>
    <col min="771" max="771" width="17.42578125" style="86" customWidth="1"/>
    <col min="772" max="772" width="16.140625" style="86" customWidth="1"/>
    <col min="773" max="773" width="16" style="86" customWidth="1"/>
    <col min="774" max="774" width="14.85546875" style="86" customWidth="1"/>
    <col min="775" max="775" width="17.140625" style="86" customWidth="1"/>
    <col min="776" max="776" width="15" style="86" customWidth="1"/>
    <col min="777" max="777" width="12.42578125" style="86" customWidth="1"/>
    <col min="778" max="778" width="12" style="86" customWidth="1"/>
    <col min="779" max="779" width="11.85546875" style="86" customWidth="1"/>
    <col min="780" max="1023" width="9.140625" style="86"/>
    <col min="1024" max="1024" width="8.28515625" style="86" customWidth="1"/>
    <col min="1025" max="1025" width="15.5703125" style="86" customWidth="1"/>
    <col min="1026" max="1026" width="15.28515625" style="86" customWidth="1"/>
    <col min="1027" max="1027" width="17.42578125" style="86" customWidth="1"/>
    <col min="1028" max="1028" width="16.140625" style="86" customWidth="1"/>
    <col min="1029" max="1029" width="16" style="86" customWidth="1"/>
    <col min="1030" max="1030" width="14.85546875" style="86" customWidth="1"/>
    <col min="1031" max="1031" width="17.140625" style="86" customWidth="1"/>
    <col min="1032" max="1032" width="15" style="86" customWidth="1"/>
    <col min="1033" max="1033" width="12.42578125" style="86" customWidth="1"/>
    <col min="1034" max="1034" width="12" style="86" customWidth="1"/>
    <col min="1035" max="1035" width="11.85546875" style="86" customWidth="1"/>
    <col min="1036" max="1279" width="9.140625" style="86"/>
    <col min="1280" max="1280" width="8.28515625" style="86" customWidth="1"/>
    <col min="1281" max="1281" width="15.5703125" style="86" customWidth="1"/>
    <col min="1282" max="1282" width="15.28515625" style="86" customWidth="1"/>
    <col min="1283" max="1283" width="17.42578125" style="86" customWidth="1"/>
    <col min="1284" max="1284" width="16.140625" style="86" customWidth="1"/>
    <col min="1285" max="1285" width="16" style="86" customWidth="1"/>
    <col min="1286" max="1286" width="14.85546875" style="86" customWidth="1"/>
    <col min="1287" max="1287" width="17.140625" style="86" customWidth="1"/>
    <col min="1288" max="1288" width="15" style="86" customWidth="1"/>
    <col min="1289" max="1289" width="12.42578125" style="86" customWidth="1"/>
    <col min="1290" max="1290" width="12" style="86" customWidth="1"/>
    <col min="1291" max="1291" width="11.85546875" style="86" customWidth="1"/>
    <col min="1292" max="1535" width="9.140625" style="86"/>
    <col min="1536" max="1536" width="8.28515625" style="86" customWidth="1"/>
    <col min="1537" max="1537" width="15.5703125" style="86" customWidth="1"/>
    <col min="1538" max="1538" width="15.28515625" style="86" customWidth="1"/>
    <col min="1539" max="1539" width="17.42578125" style="86" customWidth="1"/>
    <col min="1540" max="1540" width="16.140625" style="86" customWidth="1"/>
    <col min="1541" max="1541" width="16" style="86" customWidth="1"/>
    <col min="1542" max="1542" width="14.85546875" style="86" customWidth="1"/>
    <col min="1543" max="1543" width="17.140625" style="86" customWidth="1"/>
    <col min="1544" max="1544" width="15" style="86" customWidth="1"/>
    <col min="1545" max="1545" width="12.42578125" style="86" customWidth="1"/>
    <col min="1546" max="1546" width="12" style="86" customWidth="1"/>
    <col min="1547" max="1547" width="11.85546875" style="86" customWidth="1"/>
    <col min="1548" max="1791" width="9.140625" style="86"/>
    <col min="1792" max="1792" width="8.28515625" style="86" customWidth="1"/>
    <col min="1793" max="1793" width="15.5703125" style="86" customWidth="1"/>
    <col min="1794" max="1794" width="15.28515625" style="86" customWidth="1"/>
    <col min="1795" max="1795" width="17.42578125" style="86" customWidth="1"/>
    <col min="1796" max="1796" width="16.140625" style="86" customWidth="1"/>
    <col min="1797" max="1797" width="16" style="86" customWidth="1"/>
    <col min="1798" max="1798" width="14.85546875" style="86" customWidth="1"/>
    <col min="1799" max="1799" width="17.140625" style="86" customWidth="1"/>
    <col min="1800" max="1800" width="15" style="86" customWidth="1"/>
    <col min="1801" max="1801" width="12.42578125" style="86" customWidth="1"/>
    <col min="1802" max="1802" width="12" style="86" customWidth="1"/>
    <col min="1803" max="1803" width="11.85546875" style="86" customWidth="1"/>
    <col min="1804" max="2047" width="9.140625" style="86"/>
    <col min="2048" max="2048" width="8.28515625" style="86" customWidth="1"/>
    <col min="2049" max="2049" width="15.5703125" style="86" customWidth="1"/>
    <col min="2050" max="2050" width="15.28515625" style="86" customWidth="1"/>
    <col min="2051" max="2051" width="17.42578125" style="86" customWidth="1"/>
    <col min="2052" max="2052" width="16.140625" style="86" customWidth="1"/>
    <col min="2053" max="2053" width="16" style="86" customWidth="1"/>
    <col min="2054" max="2054" width="14.85546875" style="86" customWidth="1"/>
    <col min="2055" max="2055" width="17.140625" style="86" customWidth="1"/>
    <col min="2056" max="2056" width="15" style="86" customWidth="1"/>
    <col min="2057" max="2057" width="12.42578125" style="86" customWidth="1"/>
    <col min="2058" max="2058" width="12" style="86" customWidth="1"/>
    <col min="2059" max="2059" width="11.85546875" style="86" customWidth="1"/>
    <col min="2060" max="2303" width="9.140625" style="86"/>
    <col min="2304" max="2304" width="8.28515625" style="86" customWidth="1"/>
    <col min="2305" max="2305" width="15.5703125" style="86" customWidth="1"/>
    <col min="2306" max="2306" width="15.28515625" style="86" customWidth="1"/>
    <col min="2307" max="2307" width="17.42578125" style="86" customWidth="1"/>
    <col min="2308" max="2308" width="16.140625" style="86" customWidth="1"/>
    <col min="2309" max="2309" width="16" style="86" customWidth="1"/>
    <col min="2310" max="2310" width="14.85546875" style="86" customWidth="1"/>
    <col min="2311" max="2311" width="17.140625" style="86" customWidth="1"/>
    <col min="2312" max="2312" width="15" style="86" customWidth="1"/>
    <col min="2313" max="2313" width="12.42578125" style="86" customWidth="1"/>
    <col min="2314" max="2314" width="12" style="86" customWidth="1"/>
    <col min="2315" max="2315" width="11.85546875" style="86" customWidth="1"/>
    <col min="2316" max="2559" width="9.140625" style="86"/>
    <col min="2560" max="2560" width="8.28515625" style="86" customWidth="1"/>
    <col min="2561" max="2561" width="15.5703125" style="86" customWidth="1"/>
    <col min="2562" max="2562" width="15.28515625" style="86" customWidth="1"/>
    <col min="2563" max="2563" width="17.42578125" style="86" customWidth="1"/>
    <col min="2564" max="2564" width="16.140625" style="86" customWidth="1"/>
    <col min="2565" max="2565" width="16" style="86" customWidth="1"/>
    <col min="2566" max="2566" width="14.85546875" style="86" customWidth="1"/>
    <col min="2567" max="2567" width="17.140625" style="86" customWidth="1"/>
    <col min="2568" max="2568" width="15" style="86" customWidth="1"/>
    <col min="2569" max="2569" width="12.42578125" style="86" customWidth="1"/>
    <col min="2570" max="2570" width="12" style="86" customWidth="1"/>
    <col min="2571" max="2571" width="11.85546875" style="86" customWidth="1"/>
    <col min="2572" max="2815" width="9.140625" style="86"/>
    <col min="2816" max="2816" width="8.28515625" style="86" customWidth="1"/>
    <col min="2817" max="2817" width="15.5703125" style="86" customWidth="1"/>
    <col min="2818" max="2818" width="15.28515625" style="86" customWidth="1"/>
    <col min="2819" max="2819" width="17.42578125" style="86" customWidth="1"/>
    <col min="2820" max="2820" width="16.140625" style="86" customWidth="1"/>
    <col min="2821" max="2821" width="16" style="86" customWidth="1"/>
    <col min="2822" max="2822" width="14.85546875" style="86" customWidth="1"/>
    <col min="2823" max="2823" width="17.140625" style="86" customWidth="1"/>
    <col min="2824" max="2824" width="15" style="86" customWidth="1"/>
    <col min="2825" max="2825" width="12.42578125" style="86" customWidth="1"/>
    <col min="2826" max="2826" width="12" style="86" customWidth="1"/>
    <col min="2827" max="2827" width="11.85546875" style="86" customWidth="1"/>
    <col min="2828" max="3071" width="9.140625" style="86"/>
    <col min="3072" max="3072" width="8.28515625" style="86" customWidth="1"/>
    <col min="3073" max="3073" width="15.5703125" style="86" customWidth="1"/>
    <col min="3074" max="3074" width="15.28515625" style="86" customWidth="1"/>
    <col min="3075" max="3075" width="17.42578125" style="86" customWidth="1"/>
    <col min="3076" max="3076" width="16.140625" style="86" customWidth="1"/>
    <col min="3077" max="3077" width="16" style="86" customWidth="1"/>
    <col min="3078" max="3078" width="14.85546875" style="86" customWidth="1"/>
    <col min="3079" max="3079" width="17.140625" style="86" customWidth="1"/>
    <col min="3080" max="3080" width="15" style="86" customWidth="1"/>
    <col min="3081" max="3081" width="12.42578125" style="86" customWidth="1"/>
    <col min="3082" max="3082" width="12" style="86" customWidth="1"/>
    <col min="3083" max="3083" width="11.85546875" style="86" customWidth="1"/>
    <col min="3084" max="3327" width="9.140625" style="86"/>
    <col min="3328" max="3328" width="8.28515625" style="86" customWidth="1"/>
    <col min="3329" max="3329" width="15.5703125" style="86" customWidth="1"/>
    <col min="3330" max="3330" width="15.28515625" style="86" customWidth="1"/>
    <col min="3331" max="3331" width="17.42578125" style="86" customWidth="1"/>
    <col min="3332" max="3332" width="16.140625" style="86" customWidth="1"/>
    <col min="3333" max="3333" width="16" style="86" customWidth="1"/>
    <col min="3334" max="3334" width="14.85546875" style="86" customWidth="1"/>
    <col min="3335" max="3335" width="17.140625" style="86" customWidth="1"/>
    <col min="3336" max="3336" width="15" style="86" customWidth="1"/>
    <col min="3337" max="3337" width="12.42578125" style="86" customWidth="1"/>
    <col min="3338" max="3338" width="12" style="86" customWidth="1"/>
    <col min="3339" max="3339" width="11.85546875" style="86" customWidth="1"/>
    <col min="3340" max="3583" width="9.140625" style="86"/>
    <col min="3584" max="3584" width="8.28515625" style="86" customWidth="1"/>
    <col min="3585" max="3585" width="15.5703125" style="86" customWidth="1"/>
    <col min="3586" max="3586" width="15.28515625" style="86" customWidth="1"/>
    <col min="3587" max="3587" width="17.42578125" style="86" customWidth="1"/>
    <col min="3588" max="3588" width="16.140625" style="86" customWidth="1"/>
    <col min="3589" max="3589" width="16" style="86" customWidth="1"/>
    <col min="3590" max="3590" width="14.85546875" style="86" customWidth="1"/>
    <col min="3591" max="3591" width="17.140625" style="86" customWidth="1"/>
    <col min="3592" max="3592" width="15" style="86" customWidth="1"/>
    <col min="3593" max="3593" width="12.42578125" style="86" customWidth="1"/>
    <col min="3594" max="3594" width="12" style="86" customWidth="1"/>
    <col min="3595" max="3595" width="11.85546875" style="86" customWidth="1"/>
    <col min="3596" max="3839" width="9.140625" style="86"/>
    <col min="3840" max="3840" width="8.28515625" style="86" customWidth="1"/>
    <col min="3841" max="3841" width="15.5703125" style="86" customWidth="1"/>
    <col min="3842" max="3842" width="15.28515625" style="86" customWidth="1"/>
    <col min="3843" max="3843" width="17.42578125" style="86" customWidth="1"/>
    <col min="3844" max="3844" width="16.140625" style="86" customWidth="1"/>
    <col min="3845" max="3845" width="16" style="86" customWidth="1"/>
    <col min="3846" max="3846" width="14.85546875" style="86" customWidth="1"/>
    <col min="3847" max="3847" width="17.140625" style="86" customWidth="1"/>
    <col min="3848" max="3848" width="15" style="86" customWidth="1"/>
    <col min="3849" max="3849" width="12.42578125" style="86" customWidth="1"/>
    <col min="3850" max="3850" width="12" style="86" customWidth="1"/>
    <col min="3851" max="3851" width="11.85546875" style="86" customWidth="1"/>
    <col min="3852" max="4095" width="9.140625" style="86"/>
    <col min="4096" max="4096" width="8.28515625" style="86" customWidth="1"/>
    <col min="4097" max="4097" width="15.5703125" style="86" customWidth="1"/>
    <col min="4098" max="4098" width="15.28515625" style="86" customWidth="1"/>
    <col min="4099" max="4099" width="17.42578125" style="86" customWidth="1"/>
    <col min="4100" max="4100" width="16.140625" style="86" customWidth="1"/>
    <col min="4101" max="4101" width="16" style="86" customWidth="1"/>
    <col min="4102" max="4102" width="14.85546875" style="86" customWidth="1"/>
    <col min="4103" max="4103" width="17.140625" style="86" customWidth="1"/>
    <col min="4104" max="4104" width="15" style="86" customWidth="1"/>
    <col min="4105" max="4105" width="12.42578125" style="86" customWidth="1"/>
    <col min="4106" max="4106" width="12" style="86" customWidth="1"/>
    <col min="4107" max="4107" width="11.85546875" style="86" customWidth="1"/>
    <col min="4108" max="4351" width="9.140625" style="86"/>
    <col min="4352" max="4352" width="8.28515625" style="86" customWidth="1"/>
    <col min="4353" max="4353" width="15.5703125" style="86" customWidth="1"/>
    <col min="4354" max="4354" width="15.28515625" style="86" customWidth="1"/>
    <col min="4355" max="4355" width="17.42578125" style="86" customWidth="1"/>
    <col min="4356" max="4356" width="16.140625" style="86" customWidth="1"/>
    <col min="4357" max="4357" width="16" style="86" customWidth="1"/>
    <col min="4358" max="4358" width="14.85546875" style="86" customWidth="1"/>
    <col min="4359" max="4359" width="17.140625" style="86" customWidth="1"/>
    <col min="4360" max="4360" width="15" style="86" customWidth="1"/>
    <col min="4361" max="4361" width="12.42578125" style="86" customWidth="1"/>
    <col min="4362" max="4362" width="12" style="86" customWidth="1"/>
    <col min="4363" max="4363" width="11.85546875" style="86" customWidth="1"/>
    <col min="4364" max="4607" width="9.140625" style="86"/>
    <col min="4608" max="4608" width="8.28515625" style="86" customWidth="1"/>
    <col min="4609" max="4609" width="15.5703125" style="86" customWidth="1"/>
    <col min="4610" max="4610" width="15.28515625" style="86" customWidth="1"/>
    <col min="4611" max="4611" width="17.42578125" style="86" customWidth="1"/>
    <col min="4612" max="4612" width="16.140625" style="86" customWidth="1"/>
    <col min="4613" max="4613" width="16" style="86" customWidth="1"/>
    <col min="4614" max="4614" width="14.85546875" style="86" customWidth="1"/>
    <col min="4615" max="4615" width="17.140625" style="86" customWidth="1"/>
    <col min="4616" max="4616" width="15" style="86" customWidth="1"/>
    <col min="4617" max="4617" width="12.42578125" style="86" customWidth="1"/>
    <col min="4618" max="4618" width="12" style="86" customWidth="1"/>
    <col min="4619" max="4619" width="11.85546875" style="86" customWidth="1"/>
    <col min="4620" max="4863" width="9.140625" style="86"/>
    <col min="4864" max="4864" width="8.28515625" style="86" customWidth="1"/>
    <col min="4865" max="4865" width="15.5703125" style="86" customWidth="1"/>
    <col min="4866" max="4866" width="15.28515625" style="86" customWidth="1"/>
    <col min="4867" max="4867" width="17.42578125" style="86" customWidth="1"/>
    <col min="4868" max="4868" width="16.140625" style="86" customWidth="1"/>
    <col min="4869" max="4869" width="16" style="86" customWidth="1"/>
    <col min="4870" max="4870" width="14.85546875" style="86" customWidth="1"/>
    <col min="4871" max="4871" width="17.140625" style="86" customWidth="1"/>
    <col min="4872" max="4872" width="15" style="86" customWidth="1"/>
    <col min="4873" max="4873" width="12.42578125" style="86" customWidth="1"/>
    <col min="4874" max="4874" width="12" style="86" customWidth="1"/>
    <col min="4875" max="4875" width="11.85546875" style="86" customWidth="1"/>
    <col min="4876" max="5119" width="9.140625" style="86"/>
    <col min="5120" max="5120" width="8.28515625" style="86" customWidth="1"/>
    <col min="5121" max="5121" width="15.5703125" style="86" customWidth="1"/>
    <col min="5122" max="5122" width="15.28515625" style="86" customWidth="1"/>
    <col min="5123" max="5123" width="17.42578125" style="86" customWidth="1"/>
    <col min="5124" max="5124" width="16.140625" style="86" customWidth="1"/>
    <col min="5125" max="5125" width="16" style="86" customWidth="1"/>
    <col min="5126" max="5126" width="14.85546875" style="86" customWidth="1"/>
    <col min="5127" max="5127" width="17.140625" style="86" customWidth="1"/>
    <col min="5128" max="5128" width="15" style="86" customWidth="1"/>
    <col min="5129" max="5129" width="12.42578125" style="86" customWidth="1"/>
    <col min="5130" max="5130" width="12" style="86" customWidth="1"/>
    <col min="5131" max="5131" width="11.85546875" style="86" customWidth="1"/>
    <col min="5132" max="5375" width="9.140625" style="86"/>
    <col min="5376" max="5376" width="8.28515625" style="86" customWidth="1"/>
    <col min="5377" max="5377" width="15.5703125" style="86" customWidth="1"/>
    <col min="5378" max="5378" width="15.28515625" style="86" customWidth="1"/>
    <col min="5379" max="5379" width="17.42578125" style="86" customWidth="1"/>
    <col min="5380" max="5380" width="16.140625" style="86" customWidth="1"/>
    <col min="5381" max="5381" width="16" style="86" customWidth="1"/>
    <col min="5382" max="5382" width="14.85546875" style="86" customWidth="1"/>
    <col min="5383" max="5383" width="17.140625" style="86" customWidth="1"/>
    <col min="5384" max="5384" width="15" style="86" customWidth="1"/>
    <col min="5385" max="5385" width="12.42578125" style="86" customWidth="1"/>
    <col min="5386" max="5386" width="12" style="86" customWidth="1"/>
    <col min="5387" max="5387" width="11.85546875" style="86" customWidth="1"/>
    <col min="5388" max="5631" width="9.140625" style="86"/>
    <col min="5632" max="5632" width="8.28515625" style="86" customWidth="1"/>
    <col min="5633" max="5633" width="15.5703125" style="86" customWidth="1"/>
    <col min="5634" max="5634" width="15.28515625" style="86" customWidth="1"/>
    <col min="5635" max="5635" width="17.42578125" style="86" customWidth="1"/>
    <col min="5636" max="5636" width="16.140625" style="86" customWidth="1"/>
    <col min="5637" max="5637" width="16" style="86" customWidth="1"/>
    <col min="5638" max="5638" width="14.85546875" style="86" customWidth="1"/>
    <col min="5639" max="5639" width="17.140625" style="86" customWidth="1"/>
    <col min="5640" max="5640" width="15" style="86" customWidth="1"/>
    <col min="5641" max="5641" width="12.42578125" style="86" customWidth="1"/>
    <col min="5642" max="5642" width="12" style="86" customWidth="1"/>
    <col min="5643" max="5643" width="11.85546875" style="86" customWidth="1"/>
    <col min="5644" max="5887" width="9.140625" style="86"/>
    <col min="5888" max="5888" width="8.28515625" style="86" customWidth="1"/>
    <col min="5889" max="5889" width="15.5703125" style="86" customWidth="1"/>
    <col min="5890" max="5890" width="15.28515625" style="86" customWidth="1"/>
    <col min="5891" max="5891" width="17.42578125" style="86" customWidth="1"/>
    <col min="5892" max="5892" width="16.140625" style="86" customWidth="1"/>
    <col min="5893" max="5893" width="16" style="86" customWidth="1"/>
    <col min="5894" max="5894" width="14.85546875" style="86" customWidth="1"/>
    <col min="5895" max="5895" width="17.140625" style="86" customWidth="1"/>
    <col min="5896" max="5896" width="15" style="86" customWidth="1"/>
    <col min="5897" max="5897" width="12.42578125" style="86" customWidth="1"/>
    <col min="5898" max="5898" width="12" style="86" customWidth="1"/>
    <col min="5899" max="5899" width="11.85546875" style="86" customWidth="1"/>
    <col min="5900" max="6143" width="9.140625" style="86"/>
    <col min="6144" max="6144" width="8.28515625" style="86" customWidth="1"/>
    <col min="6145" max="6145" width="15.5703125" style="86" customWidth="1"/>
    <col min="6146" max="6146" width="15.28515625" style="86" customWidth="1"/>
    <col min="6147" max="6147" width="17.42578125" style="86" customWidth="1"/>
    <col min="6148" max="6148" width="16.140625" style="86" customWidth="1"/>
    <col min="6149" max="6149" width="16" style="86" customWidth="1"/>
    <col min="6150" max="6150" width="14.85546875" style="86" customWidth="1"/>
    <col min="6151" max="6151" width="17.140625" style="86" customWidth="1"/>
    <col min="6152" max="6152" width="15" style="86" customWidth="1"/>
    <col min="6153" max="6153" width="12.42578125" style="86" customWidth="1"/>
    <col min="6154" max="6154" width="12" style="86" customWidth="1"/>
    <col min="6155" max="6155" width="11.85546875" style="86" customWidth="1"/>
    <col min="6156" max="6399" width="9.140625" style="86"/>
    <col min="6400" max="6400" width="8.28515625" style="86" customWidth="1"/>
    <col min="6401" max="6401" width="15.5703125" style="86" customWidth="1"/>
    <col min="6402" max="6402" width="15.28515625" style="86" customWidth="1"/>
    <col min="6403" max="6403" width="17.42578125" style="86" customWidth="1"/>
    <col min="6404" max="6404" width="16.140625" style="86" customWidth="1"/>
    <col min="6405" max="6405" width="16" style="86" customWidth="1"/>
    <col min="6406" max="6406" width="14.85546875" style="86" customWidth="1"/>
    <col min="6407" max="6407" width="17.140625" style="86" customWidth="1"/>
    <col min="6408" max="6408" width="15" style="86" customWidth="1"/>
    <col min="6409" max="6409" width="12.42578125" style="86" customWidth="1"/>
    <col min="6410" max="6410" width="12" style="86" customWidth="1"/>
    <col min="6411" max="6411" width="11.85546875" style="86" customWidth="1"/>
    <col min="6412" max="6655" width="9.140625" style="86"/>
    <col min="6656" max="6656" width="8.28515625" style="86" customWidth="1"/>
    <col min="6657" max="6657" width="15.5703125" style="86" customWidth="1"/>
    <col min="6658" max="6658" width="15.28515625" style="86" customWidth="1"/>
    <col min="6659" max="6659" width="17.42578125" style="86" customWidth="1"/>
    <col min="6660" max="6660" width="16.140625" style="86" customWidth="1"/>
    <col min="6661" max="6661" width="16" style="86" customWidth="1"/>
    <col min="6662" max="6662" width="14.85546875" style="86" customWidth="1"/>
    <col min="6663" max="6663" width="17.140625" style="86" customWidth="1"/>
    <col min="6664" max="6664" width="15" style="86" customWidth="1"/>
    <col min="6665" max="6665" width="12.42578125" style="86" customWidth="1"/>
    <col min="6666" max="6666" width="12" style="86" customWidth="1"/>
    <col min="6667" max="6667" width="11.85546875" style="86" customWidth="1"/>
    <col min="6668" max="6911" width="9.140625" style="86"/>
    <col min="6912" max="6912" width="8.28515625" style="86" customWidth="1"/>
    <col min="6913" max="6913" width="15.5703125" style="86" customWidth="1"/>
    <col min="6914" max="6914" width="15.28515625" style="86" customWidth="1"/>
    <col min="6915" max="6915" width="17.42578125" style="86" customWidth="1"/>
    <col min="6916" max="6916" width="16.140625" style="86" customWidth="1"/>
    <col min="6917" max="6917" width="16" style="86" customWidth="1"/>
    <col min="6918" max="6918" width="14.85546875" style="86" customWidth="1"/>
    <col min="6919" max="6919" width="17.140625" style="86" customWidth="1"/>
    <col min="6920" max="6920" width="15" style="86" customWidth="1"/>
    <col min="6921" max="6921" width="12.42578125" style="86" customWidth="1"/>
    <col min="6922" max="6922" width="12" style="86" customWidth="1"/>
    <col min="6923" max="6923" width="11.85546875" style="86" customWidth="1"/>
    <col min="6924" max="7167" width="9.140625" style="86"/>
    <col min="7168" max="7168" width="8.28515625" style="86" customWidth="1"/>
    <col min="7169" max="7169" width="15.5703125" style="86" customWidth="1"/>
    <col min="7170" max="7170" width="15.28515625" style="86" customWidth="1"/>
    <col min="7171" max="7171" width="17.42578125" style="86" customWidth="1"/>
    <col min="7172" max="7172" width="16.140625" style="86" customWidth="1"/>
    <col min="7173" max="7173" width="16" style="86" customWidth="1"/>
    <col min="7174" max="7174" width="14.85546875" style="86" customWidth="1"/>
    <col min="7175" max="7175" width="17.140625" style="86" customWidth="1"/>
    <col min="7176" max="7176" width="15" style="86" customWidth="1"/>
    <col min="7177" max="7177" width="12.42578125" style="86" customWidth="1"/>
    <col min="7178" max="7178" width="12" style="86" customWidth="1"/>
    <col min="7179" max="7179" width="11.85546875" style="86" customWidth="1"/>
    <col min="7180" max="7423" width="9.140625" style="86"/>
    <col min="7424" max="7424" width="8.28515625" style="86" customWidth="1"/>
    <col min="7425" max="7425" width="15.5703125" style="86" customWidth="1"/>
    <col min="7426" max="7426" width="15.28515625" style="86" customWidth="1"/>
    <col min="7427" max="7427" width="17.42578125" style="86" customWidth="1"/>
    <col min="7428" max="7428" width="16.140625" style="86" customWidth="1"/>
    <col min="7429" max="7429" width="16" style="86" customWidth="1"/>
    <col min="7430" max="7430" width="14.85546875" style="86" customWidth="1"/>
    <col min="7431" max="7431" width="17.140625" style="86" customWidth="1"/>
    <col min="7432" max="7432" width="15" style="86" customWidth="1"/>
    <col min="7433" max="7433" width="12.42578125" style="86" customWidth="1"/>
    <col min="7434" max="7434" width="12" style="86" customWidth="1"/>
    <col min="7435" max="7435" width="11.85546875" style="86" customWidth="1"/>
    <col min="7436" max="7679" width="9.140625" style="86"/>
    <col min="7680" max="7680" width="8.28515625" style="86" customWidth="1"/>
    <col min="7681" max="7681" width="15.5703125" style="86" customWidth="1"/>
    <col min="7682" max="7682" width="15.28515625" style="86" customWidth="1"/>
    <col min="7683" max="7683" width="17.42578125" style="86" customWidth="1"/>
    <col min="7684" max="7684" width="16.140625" style="86" customWidth="1"/>
    <col min="7685" max="7685" width="16" style="86" customWidth="1"/>
    <col min="7686" max="7686" width="14.85546875" style="86" customWidth="1"/>
    <col min="7687" max="7687" width="17.140625" style="86" customWidth="1"/>
    <col min="7688" max="7688" width="15" style="86" customWidth="1"/>
    <col min="7689" max="7689" width="12.42578125" style="86" customWidth="1"/>
    <col min="7690" max="7690" width="12" style="86" customWidth="1"/>
    <col min="7691" max="7691" width="11.85546875" style="86" customWidth="1"/>
    <col min="7692" max="7935" width="9.140625" style="86"/>
    <col min="7936" max="7936" width="8.28515625" style="86" customWidth="1"/>
    <col min="7937" max="7937" width="15.5703125" style="86" customWidth="1"/>
    <col min="7938" max="7938" width="15.28515625" style="86" customWidth="1"/>
    <col min="7939" max="7939" width="17.42578125" style="86" customWidth="1"/>
    <col min="7940" max="7940" width="16.140625" style="86" customWidth="1"/>
    <col min="7941" max="7941" width="16" style="86" customWidth="1"/>
    <col min="7942" max="7942" width="14.85546875" style="86" customWidth="1"/>
    <col min="7943" max="7943" width="17.140625" style="86" customWidth="1"/>
    <col min="7944" max="7944" width="15" style="86" customWidth="1"/>
    <col min="7945" max="7945" width="12.42578125" style="86" customWidth="1"/>
    <col min="7946" max="7946" width="12" style="86" customWidth="1"/>
    <col min="7947" max="7947" width="11.85546875" style="86" customWidth="1"/>
    <col min="7948" max="8191" width="9.140625" style="86"/>
    <col min="8192" max="8192" width="8.28515625" style="86" customWidth="1"/>
    <col min="8193" max="8193" width="15.5703125" style="86" customWidth="1"/>
    <col min="8194" max="8194" width="15.28515625" style="86" customWidth="1"/>
    <col min="8195" max="8195" width="17.42578125" style="86" customWidth="1"/>
    <col min="8196" max="8196" width="16.140625" style="86" customWidth="1"/>
    <col min="8197" max="8197" width="16" style="86" customWidth="1"/>
    <col min="8198" max="8198" width="14.85546875" style="86" customWidth="1"/>
    <col min="8199" max="8199" width="17.140625" style="86" customWidth="1"/>
    <col min="8200" max="8200" width="15" style="86" customWidth="1"/>
    <col min="8201" max="8201" width="12.42578125" style="86" customWidth="1"/>
    <col min="8202" max="8202" width="12" style="86" customWidth="1"/>
    <col min="8203" max="8203" width="11.85546875" style="86" customWidth="1"/>
    <col min="8204" max="8447" width="9.140625" style="86"/>
    <col min="8448" max="8448" width="8.28515625" style="86" customWidth="1"/>
    <col min="8449" max="8449" width="15.5703125" style="86" customWidth="1"/>
    <col min="8450" max="8450" width="15.28515625" style="86" customWidth="1"/>
    <col min="8451" max="8451" width="17.42578125" style="86" customWidth="1"/>
    <col min="8452" max="8452" width="16.140625" style="86" customWidth="1"/>
    <col min="8453" max="8453" width="16" style="86" customWidth="1"/>
    <col min="8454" max="8454" width="14.85546875" style="86" customWidth="1"/>
    <col min="8455" max="8455" width="17.140625" style="86" customWidth="1"/>
    <col min="8456" max="8456" width="15" style="86" customWidth="1"/>
    <col min="8457" max="8457" width="12.42578125" style="86" customWidth="1"/>
    <col min="8458" max="8458" width="12" style="86" customWidth="1"/>
    <col min="8459" max="8459" width="11.85546875" style="86" customWidth="1"/>
    <col min="8460" max="8703" width="9.140625" style="86"/>
    <col min="8704" max="8704" width="8.28515625" style="86" customWidth="1"/>
    <col min="8705" max="8705" width="15.5703125" style="86" customWidth="1"/>
    <col min="8706" max="8706" width="15.28515625" style="86" customWidth="1"/>
    <col min="8707" max="8707" width="17.42578125" style="86" customWidth="1"/>
    <col min="8708" max="8708" width="16.140625" style="86" customWidth="1"/>
    <col min="8709" max="8709" width="16" style="86" customWidth="1"/>
    <col min="8710" max="8710" width="14.85546875" style="86" customWidth="1"/>
    <col min="8711" max="8711" width="17.140625" style="86" customWidth="1"/>
    <col min="8712" max="8712" width="15" style="86" customWidth="1"/>
    <col min="8713" max="8713" width="12.42578125" style="86" customWidth="1"/>
    <col min="8714" max="8714" width="12" style="86" customWidth="1"/>
    <col min="8715" max="8715" width="11.85546875" style="86" customWidth="1"/>
    <col min="8716" max="8959" width="9.140625" style="86"/>
    <col min="8960" max="8960" width="8.28515625" style="86" customWidth="1"/>
    <col min="8961" max="8961" width="15.5703125" style="86" customWidth="1"/>
    <col min="8962" max="8962" width="15.28515625" style="86" customWidth="1"/>
    <col min="8963" max="8963" width="17.42578125" style="86" customWidth="1"/>
    <col min="8964" max="8964" width="16.140625" style="86" customWidth="1"/>
    <col min="8965" max="8965" width="16" style="86" customWidth="1"/>
    <col min="8966" max="8966" width="14.85546875" style="86" customWidth="1"/>
    <col min="8967" max="8967" width="17.140625" style="86" customWidth="1"/>
    <col min="8968" max="8968" width="15" style="86" customWidth="1"/>
    <col min="8969" max="8969" width="12.42578125" style="86" customWidth="1"/>
    <col min="8970" max="8970" width="12" style="86" customWidth="1"/>
    <col min="8971" max="8971" width="11.85546875" style="86" customWidth="1"/>
    <col min="8972" max="9215" width="9.140625" style="86"/>
    <col min="9216" max="9216" width="8.28515625" style="86" customWidth="1"/>
    <col min="9217" max="9217" width="15.5703125" style="86" customWidth="1"/>
    <col min="9218" max="9218" width="15.28515625" style="86" customWidth="1"/>
    <col min="9219" max="9219" width="17.42578125" style="86" customWidth="1"/>
    <col min="9220" max="9220" width="16.140625" style="86" customWidth="1"/>
    <col min="9221" max="9221" width="16" style="86" customWidth="1"/>
    <col min="9222" max="9222" width="14.85546875" style="86" customWidth="1"/>
    <col min="9223" max="9223" width="17.140625" style="86" customWidth="1"/>
    <col min="9224" max="9224" width="15" style="86" customWidth="1"/>
    <col min="9225" max="9225" width="12.42578125" style="86" customWidth="1"/>
    <col min="9226" max="9226" width="12" style="86" customWidth="1"/>
    <col min="9227" max="9227" width="11.85546875" style="86" customWidth="1"/>
    <col min="9228" max="9471" width="9.140625" style="86"/>
    <col min="9472" max="9472" width="8.28515625" style="86" customWidth="1"/>
    <col min="9473" max="9473" width="15.5703125" style="86" customWidth="1"/>
    <col min="9474" max="9474" width="15.28515625" style="86" customWidth="1"/>
    <col min="9475" max="9475" width="17.42578125" style="86" customWidth="1"/>
    <col min="9476" max="9476" width="16.140625" style="86" customWidth="1"/>
    <col min="9477" max="9477" width="16" style="86" customWidth="1"/>
    <col min="9478" max="9478" width="14.85546875" style="86" customWidth="1"/>
    <col min="9479" max="9479" width="17.140625" style="86" customWidth="1"/>
    <col min="9480" max="9480" width="15" style="86" customWidth="1"/>
    <col min="9481" max="9481" width="12.42578125" style="86" customWidth="1"/>
    <col min="9482" max="9482" width="12" style="86" customWidth="1"/>
    <col min="9483" max="9483" width="11.85546875" style="86" customWidth="1"/>
    <col min="9484" max="9727" width="9.140625" style="86"/>
    <col min="9728" max="9728" width="8.28515625" style="86" customWidth="1"/>
    <col min="9729" max="9729" width="15.5703125" style="86" customWidth="1"/>
    <col min="9730" max="9730" width="15.28515625" style="86" customWidth="1"/>
    <col min="9731" max="9731" width="17.42578125" style="86" customWidth="1"/>
    <col min="9732" max="9732" width="16.140625" style="86" customWidth="1"/>
    <col min="9733" max="9733" width="16" style="86" customWidth="1"/>
    <col min="9734" max="9734" width="14.85546875" style="86" customWidth="1"/>
    <col min="9735" max="9735" width="17.140625" style="86" customWidth="1"/>
    <col min="9736" max="9736" width="15" style="86" customWidth="1"/>
    <col min="9737" max="9737" width="12.42578125" style="86" customWidth="1"/>
    <col min="9738" max="9738" width="12" style="86" customWidth="1"/>
    <col min="9739" max="9739" width="11.85546875" style="86" customWidth="1"/>
    <col min="9740" max="9983" width="9.140625" style="86"/>
    <col min="9984" max="9984" width="8.28515625" style="86" customWidth="1"/>
    <col min="9985" max="9985" width="15.5703125" style="86" customWidth="1"/>
    <col min="9986" max="9986" width="15.28515625" style="86" customWidth="1"/>
    <col min="9987" max="9987" width="17.42578125" style="86" customWidth="1"/>
    <col min="9988" max="9988" width="16.140625" style="86" customWidth="1"/>
    <col min="9989" max="9989" width="16" style="86" customWidth="1"/>
    <col min="9990" max="9990" width="14.85546875" style="86" customWidth="1"/>
    <col min="9991" max="9991" width="17.140625" style="86" customWidth="1"/>
    <col min="9992" max="9992" width="15" style="86" customWidth="1"/>
    <col min="9993" max="9993" width="12.42578125" style="86" customWidth="1"/>
    <col min="9994" max="9994" width="12" style="86" customWidth="1"/>
    <col min="9995" max="9995" width="11.85546875" style="86" customWidth="1"/>
    <col min="9996" max="10239" width="9.140625" style="86"/>
    <col min="10240" max="10240" width="8.28515625" style="86" customWidth="1"/>
    <col min="10241" max="10241" width="15.5703125" style="86" customWidth="1"/>
    <col min="10242" max="10242" width="15.28515625" style="86" customWidth="1"/>
    <col min="10243" max="10243" width="17.42578125" style="86" customWidth="1"/>
    <col min="10244" max="10244" width="16.140625" style="86" customWidth="1"/>
    <col min="10245" max="10245" width="16" style="86" customWidth="1"/>
    <col min="10246" max="10246" width="14.85546875" style="86" customWidth="1"/>
    <col min="10247" max="10247" width="17.140625" style="86" customWidth="1"/>
    <col min="10248" max="10248" width="15" style="86" customWidth="1"/>
    <col min="10249" max="10249" width="12.42578125" style="86" customWidth="1"/>
    <col min="10250" max="10250" width="12" style="86" customWidth="1"/>
    <col min="10251" max="10251" width="11.85546875" style="86" customWidth="1"/>
    <col min="10252" max="10495" width="9.140625" style="86"/>
    <col min="10496" max="10496" width="8.28515625" style="86" customWidth="1"/>
    <col min="10497" max="10497" width="15.5703125" style="86" customWidth="1"/>
    <col min="10498" max="10498" width="15.28515625" style="86" customWidth="1"/>
    <col min="10499" max="10499" width="17.42578125" style="86" customWidth="1"/>
    <col min="10500" max="10500" width="16.140625" style="86" customWidth="1"/>
    <col min="10501" max="10501" width="16" style="86" customWidth="1"/>
    <col min="10502" max="10502" width="14.85546875" style="86" customWidth="1"/>
    <col min="10503" max="10503" width="17.140625" style="86" customWidth="1"/>
    <col min="10504" max="10504" width="15" style="86" customWidth="1"/>
    <col min="10505" max="10505" width="12.42578125" style="86" customWidth="1"/>
    <col min="10506" max="10506" width="12" style="86" customWidth="1"/>
    <col min="10507" max="10507" width="11.85546875" style="86" customWidth="1"/>
    <col min="10508" max="10751" width="9.140625" style="86"/>
    <col min="10752" max="10752" width="8.28515625" style="86" customWidth="1"/>
    <col min="10753" max="10753" width="15.5703125" style="86" customWidth="1"/>
    <col min="10754" max="10754" width="15.28515625" style="86" customWidth="1"/>
    <col min="10755" max="10755" width="17.42578125" style="86" customWidth="1"/>
    <col min="10756" max="10756" width="16.140625" style="86" customWidth="1"/>
    <col min="10757" max="10757" width="16" style="86" customWidth="1"/>
    <col min="10758" max="10758" width="14.85546875" style="86" customWidth="1"/>
    <col min="10759" max="10759" width="17.140625" style="86" customWidth="1"/>
    <col min="10760" max="10760" width="15" style="86" customWidth="1"/>
    <col min="10761" max="10761" width="12.42578125" style="86" customWidth="1"/>
    <col min="10762" max="10762" width="12" style="86" customWidth="1"/>
    <col min="10763" max="10763" width="11.85546875" style="86" customWidth="1"/>
    <col min="10764" max="11007" width="9.140625" style="86"/>
    <col min="11008" max="11008" width="8.28515625" style="86" customWidth="1"/>
    <col min="11009" max="11009" width="15.5703125" style="86" customWidth="1"/>
    <col min="11010" max="11010" width="15.28515625" style="86" customWidth="1"/>
    <col min="11011" max="11011" width="17.42578125" style="86" customWidth="1"/>
    <col min="11012" max="11012" width="16.140625" style="86" customWidth="1"/>
    <col min="11013" max="11013" width="16" style="86" customWidth="1"/>
    <col min="11014" max="11014" width="14.85546875" style="86" customWidth="1"/>
    <col min="11015" max="11015" width="17.140625" style="86" customWidth="1"/>
    <col min="11016" max="11016" width="15" style="86" customWidth="1"/>
    <col min="11017" max="11017" width="12.42578125" style="86" customWidth="1"/>
    <col min="11018" max="11018" width="12" style="86" customWidth="1"/>
    <col min="11019" max="11019" width="11.85546875" style="86" customWidth="1"/>
    <col min="11020" max="11263" width="9.140625" style="86"/>
    <col min="11264" max="11264" width="8.28515625" style="86" customWidth="1"/>
    <col min="11265" max="11265" width="15.5703125" style="86" customWidth="1"/>
    <col min="11266" max="11266" width="15.28515625" style="86" customWidth="1"/>
    <col min="11267" max="11267" width="17.42578125" style="86" customWidth="1"/>
    <col min="11268" max="11268" width="16.140625" style="86" customWidth="1"/>
    <col min="11269" max="11269" width="16" style="86" customWidth="1"/>
    <col min="11270" max="11270" width="14.85546875" style="86" customWidth="1"/>
    <col min="11271" max="11271" width="17.140625" style="86" customWidth="1"/>
    <col min="11272" max="11272" width="15" style="86" customWidth="1"/>
    <col min="11273" max="11273" width="12.42578125" style="86" customWidth="1"/>
    <col min="11274" max="11274" width="12" style="86" customWidth="1"/>
    <col min="11275" max="11275" width="11.85546875" style="86" customWidth="1"/>
    <col min="11276" max="11519" width="9.140625" style="86"/>
    <col min="11520" max="11520" width="8.28515625" style="86" customWidth="1"/>
    <col min="11521" max="11521" width="15.5703125" style="86" customWidth="1"/>
    <col min="11522" max="11522" width="15.28515625" style="86" customWidth="1"/>
    <col min="11523" max="11523" width="17.42578125" style="86" customWidth="1"/>
    <col min="11524" max="11524" width="16.140625" style="86" customWidth="1"/>
    <col min="11525" max="11525" width="16" style="86" customWidth="1"/>
    <col min="11526" max="11526" width="14.85546875" style="86" customWidth="1"/>
    <col min="11527" max="11527" width="17.140625" style="86" customWidth="1"/>
    <col min="11528" max="11528" width="15" style="86" customWidth="1"/>
    <col min="11529" max="11529" width="12.42578125" style="86" customWidth="1"/>
    <col min="11530" max="11530" width="12" style="86" customWidth="1"/>
    <col min="11531" max="11531" width="11.85546875" style="86" customWidth="1"/>
    <col min="11532" max="11775" width="9.140625" style="86"/>
    <col min="11776" max="11776" width="8.28515625" style="86" customWidth="1"/>
    <col min="11777" max="11777" width="15.5703125" style="86" customWidth="1"/>
    <col min="11778" max="11778" width="15.28515625" style="86" customWidth="1"/>
    <col min="11779" max="11779" width="17.42578125" style="86" customWidth="1"/>
    <col min="11780" max="11780" width="16.140625" style="86" customWidth="1"/>
    <col min="11781" max="11781" width="16" style="86" customWidth="1"/>
    <col min="11782" max="11782" width="14.85546875" style="86" customWidth="1"/>
    <col min="11783" max="11783" width="17.140625" style="86" customWidth="1"/>
    <col min="11784" max="11784" width="15" style="86" customWidth="1"/>
    <col min="11785" max="11785" width="12.42578125" style="86" customWidth="1"/>
    <col min="11786" max="11786" width="12" style="86" customWidth="1"/>
    <col min="11787" max="11787" width="11.85546875" style="86" customWidth="1"/>
    <col min="11788" max="12031" width="9.140625" style="86"/>
    <col min="12032" max="12032" width="8.28515625" style="86" customWidth="1"/>
    <col min="12033" max="12033" width="15.5703125" style="86" customWidth="1"/>
    <col min="12034" max="12034" width="15.28515625" style="86" customWidth="1"/>
    <col min="12035" max="12035" width="17.42578125" style="86" customWidth="1"/>
    <col min="12036" max="12036" width="16.140625" style="86" customWidth="1"/>
    <col min="12037" max="12037" width="16" style="86" customWidth="1"/>
    <col min="12038" max="12038" width="14.85546875" style="86" customWidth="1"/>
    <col min="12039" max="12039" width="17.140625" style="86" customWidth="1"/>
    <col min="12040" max="12040" width="15" style="86" customWidth="1"/>
    <col min="12041" max="12041" width="12.42578125" style="86" customWidth="1"/>
    <col min="12042" max="12042" width="12" style="86" customWidth="1"/>
    <col min="12043" max="12043" width="11.85546875" style="86" customWidth="1"/>
    <col min="12044" max="12287" width="9.140625" style="86"/>
    <col min="12288" max="12288" width="8.28515625" style="86" customWidth="1"/>
    <col min="12289" max="12289" width="15.5703125" style="86" customWidth="1"/>
    <col min="12290" max="12290" width="15.28515625" style="86" customWidth="1"/>
    <col min="12291" max="12291" width="17.42578125" style="86" customWidth="1"/>
    <col min="12292" max="12292" width="16.140625" style="86" customWidth="1"/>
    <col min="12293" max="12293" width="16" style="86" customWidth="1"/>
    <col min="12294" max="12294" width="14.85546875" style="86" customWidth="1"/>
    <col min="12295" max="12295" width="17.140625" style="86" customWidth="1"/>
    <col min="12296" max="12296" width="15" style="86" customWidth="1"/>
    <col min="12297" max="12297" width="12.42578125" style="86" customWidth="1"/>
    <col min="12298" max="12298" width="12" style="86" customWidth="1"/>
    <col min="12299" max="12299" width="11.85546875" style="86" customWidth="1"/>
    <col min="12300" max="12543" width="9.140625" style="86"/>
    <col min="12544" max="12544" width="8.28515625" style="86" customWidth="1"/>
    <col min="12545" max="12545" width="15.5703125" style="86" customWidth="1"/>
    <col min="12546" max="12546" width="15.28515625" style="86" customWidth="1"/>
    <col min="12547" max="12547" width="17.42578125" style="86" customWidth="1"/>
    <col min="12548" max="12548" width="16.140625" style="86" customWidth="1"/>
    <col min="12549" max="12549" width="16" style="86" customWidth="1"/>
    <col min="12550" max="12550" width="14.85546875" style="86" customWidth="1"/>
    <col min="12551" max="12551" width="17.140625" style="86" customWidth="1"/>
    <col min="12552" max="12552" width="15" style="86" customWidth="1"/>
    <col min="12553" max="12553" width="12.42578125" style="86" customWidth="1"/>
    <col min="12554" max="12554" width="12" style="86" customWidth="1"/>
    <col min="12555" max="12555" width="11.85546875" style="86" customWidth="1"/>
    <col min="12556" max="12799" width="9.140625" style="86"/>
    <col min="12800" max="12800" width="8.28515625" style="86" customWidth="1"/>
    <col min="12801" max="12801" width="15.5703125" style="86" customWidth="1"/>
    <col min="12802" max="12802" width="15.28515625" style="86" customWidth="1"/>
    <col min="12803" max="12803" width="17.42578125" style="86" customWidth="1"/>
    <col min="12804" max="12804" width="16.140625" style="86" customWidth="1"/>
    <col min="12805" max="12805" width="16" style="86" customWidth="1"/>
    <col min="12806" max="12806" width="14.85546875" style="86" customWidth="1"/>
    <col min="12807" max="12807" width="17.140625" style="86" customWidth="1"/>
    <col min="12808" max="12808" width="15" style="86" customWidth="1"/>
    <col min="12809" max="12809" width="12.42578125" style="86" customWidth="1"/>
    <col min="12810" max="12810" width="12" style="86" customWidth="1"/>
    <col min="12811" max="12811" width="11.85546875" style="86" customWidth="1"/>
    <col min="12812" max="13055" width="9.140625" style="86"/>
    <col min="13056" max="13056" width="8.28515625" style="86" customWidth="1"/>
    <col min="13057" max="13057" width="15.5703125" style="86" customWidth="1"/>
    <col min="13058" max="13058" width="15.28515625" style="86" customWidth="1"/>
    <col min="13059" max="13059" width="17.42578125" style="86" customWidth="1"/>
    <col min="13060" max="13060" width="16.140625" style="86" customWidth="1"/>
    <col min="13061" max="13061" width="16" style="86" customWidth="1"/>
    <col min="13062" max="13062" width="14.85546875" style="86" customWidth="1"/>
    <col min="13063" max="13063" width="17.140625" style="86" customWidth="1"/>
    <col min="13064" max="13064" width="15" style="86" customWidth="1"/>
    <col min="13065" max="13065" width="12.42578125" style="86" customWidth="1"/>
    <col min="13066" max="13066" width="12" style="86" customWidth="1"/>
    <col min="13067" max="13067" width="11.85546875" style="86" customWidth="1"/>
    <col min="13068" max="13311" width="9.140625" style="86"/>
    <col min="13312" max="13312" width="8.28515625" style="86" customWidth="1"/>
    <col min="13313" max="13313" width="15.5703125" style="86" customWidth="1"/>
    <col min="13314" max="13314" width="15.28515625" style="86" customWidth="1"/>
    <col min="13315" max="13315" width="17.42578125" style="86" customWidth="1"/>
    <col min="13316" max="13316" width="16.140625" style="86" customWidth="1"/>
    <col min="13317" max="13317" width="16" style="86" customWidth="1"/>
    <col min="13318" max="13318" width="14.85546875" style="86" customWidth="1"/>
    <col min="13319" max="13319" width="17.140625" style="86" customWidth="1"/>
    <col min="13320" max="13320" width="15" style="86" customWidth="1"/>
    <col min="13321" max="13321" width="12.42578125" style="86" customWidth="1"/>
    <col min="13322" max="13322" width="12" style="86" customWidth="1"/>
    <col min="13323" max="13323" width="11.85546875" style="86" customWidth="1"/>
    <col min="13324" max="13567" width="9.140625" style="86"/>
    <col min="13568" max="13568" width="8.28515625" style="86" customWidth="1"/>
    <col min="13569" max="13569" width="15.5703125" style="86" customWidth="1"/>
    <col min="13570" max="13570" width="15.28515625" style="86" customWidth="1"/>
    <col min="13571" max="13571" width="17.42578125" style="86" customWidth="1"/>
    <col min="13572" max="13572" width="16.140625" style="86" customWidth="1"/>
    <col min="13573" max="13573" width="16" style="86" customWidth="1"/>
    <col min="13574" max="13574" width="14.85546875" style="86" customWidth="1"/>
    <col min="13575" max="13575" width="17.140625" style="86" customWidth="1"/>
    <col min="13576" max="13576" width="15" style="86" customWidth="1"/>
    <col min="13577" max="13577" width="12.42578125" style="86" customWidth="1"/>
    <col min="13578" max="13578" width="12" style="86" customWidth="1"/>
    <col min="13579" max="13579" width="11.85546875" style="86" customWidth="1"/>
    <col min="13580" max="13823" width="9.140625" style="86"/>
    <col min="13824" max="13824" width="8.28515625" style="86" customWidth="1"/>
    <col min="13825" max="13825" width="15.5703125" style="86" customWidth="1"/>
    <col min="13826" max="13826" width="15.28515625" style="86" customWidth="1"/>
    <col min="13827" max="13827" width="17.42578125" style="86" customWidth="1"/>
    <col min="13828" max="13828" width="16.140625" style="86" customWidth="1"/>
    <col min="13829" max="13829" width="16" style="86" customWidth="1"/>
    <col min="13830" max="13830" width="14.85546875" style="86" customWidth="1"/>
    <col min="13831" max="13831" width="17.140625" style="86" customWidth="1"/>
    <col min="13832" max="13832" width="15" style="86" customWidth="1"/>
    <col min="13833" max="13833" width="12.42578125" style="86" customWidth="1"/>
    <col min="13834" max="13834" width="12" style="86" customWidth="1"/>
    <col min="13835" max="13835" width="11.85546875" style="86" customWidth="1"/>
    <col min="13836" max="14079" width="9.140625" style="86"/>
    <col min="14080" max="14080" width="8.28515625" style="86" customWidth="1"/>
    <col min="14081" max="14081" width="15.5703125" style="86" customWidth="1"/>
    <col min="14082" max="14082" width="15.28515625" style="86" customWidth="1"/>
    <col min="14083" max="14083" width="17.42578125" style="86" customWidth="1"/>
    <col min="14084" max="14084" width="16.140625" style="86" customWidth="1"/>
    <col min="14085" max="14085" width="16" style="86" customWidth="1"/>
    <col min="14086" max="14086" width="14.85546875" style="86" customWidth="1"/>
    <col min="14087" max="14087" width="17.140625" style="86" customWidth="1"/>
    <col min="14088" max="14088" width="15" style="86" customWidth="1"/>
    <col min="14089" max="14089" width="12.42578125" style="86" customWidth="1"/>
    <col min="14090" max="14090" width="12" style="86" customWidth="1"/>
    <col min="14091" max="14091" width="11.85546875" style="86" customWidth="1"/>
    <col min="14092" max="14335" width="9.140625" style="86"/>
    <col min="14336" max="14336" width="8.28515625" style="86" customWidth="1"/>
    <col min="14337" max="14337" width="15.5703125" style="86" customWidth="1"/>
    <col min="14338" max="14338" width="15.28515625" style="86" customWidth="1"/>
    <col min="14339" max="14339" width="17.42578125" style="86" customWidth="1"/>
    <col min="14340" max="14340" width="16.140625" style="86" customWidth="1"/>
    <col min="14341" max="14341" width="16" style="86" customWidth="1"/>
    <col min="14342" max="14342" width="14.85546875" style="86" customWidth="1"/>
    <col min="14343" max="14343" width="17.140625" style="86" customWidth="1"/>
    <col min="14344" max="14344" width="15" style="86" customWidth="1"/>
    <col min="14345" max="14345" width="12.42578125" style="86" customWidth="1"/>
    <col min="14346" max="14346" width="12" style="86" customWidth="1"/>
    <col min="14347" max="14347" width="11.85546875" style="86" customWidth="1"/>
    <col min="14348" max="14591" width="9.140625" style="86"/>
    <col min="14592" max="14592" width="8.28515625" style="86" customWidth="1"/>
    <col min="14593" max="14593" width="15.5703125" style="86" customWidth="1"/>
    <col min="14594" max="14594" width="15.28515625" style="86" customWidth="1"/>
    <col min="14595" max="14595" width="17.42578125" style="86" customWidth="1"/>
    <col min="14596" max="14596" width="16.140625" style="86" customWidth="1"/>
    <col min="14597" max="14597" width="16" style="86" customWidth="1"/>
    <col min="14598" max="14598" width="14.85546875" style="86" customWidth="1"/>
    <col min="14599" max="14599" width="17.140625" style="86" customWidth="1"/>
    <col min="14600" max="14600" width="15" style="86" customWidth="1"/>
    <col min="14601" max="14601" width="12.42578125" style="86" customWidth="1"/>
    <col min="14602" max="14602" width="12" style="86" customWidth="1"/>
    <col min="14603" max="14603" width="11.85546875" style="86" customWidth="1"/>
    <col min="14604" max="14847" width="9.140625" style="86"/>
    <col min="14848" max="14848" width="8.28515625" style="86" customWidth="1"/>
    <col min="14849" max="14849" width="15.5703125" style="86" customWidth="1"/>
    <col min="14850" max="14850" width="15.28515625" style="86" customWidth="1"/>
    <col min="14851" max="14851" width="17.42578125" style="86" customWidth="1"/>
    <col min="14852" max="14852" width="16.140625" style="86" customWidth="1"/>
    <col min="14853" max="14853" width="16" style="86" customWidth="1"/>
    <col min="14854" max="14854" width="14.85546875" style="86" customWidth="1"/>
    <col min="14855" max="14855" width="17.140625" style="86" customWidth="1"/>
    <col min="14856" max="14856" width="15" style="86" customWidth="1"/>
    <col min="14857" max="14857" width="12.42578125" style="86" customWidth="1"/>
    <col min="14858" max="14858" width="12" style="86" customWidth="1"/>
    <col min="14859" max="14859" width="11.85546875" style="86" customWidth="1"/>
    <col min="14860" max="15103" width="9.140625" style="86"/>
    <col min="15104" max="15104" width="8.28515625" style="86" customWidth="1"/>
    <col min="15105" max="15105" width="15.5703125" style="86" customWidth="1"/>
    <col min="15106" max="15106" width="15.28515625" style="86" customWidth="1"/>
    <col min="15107" max="15107" width="17.42578125" style="86" customWidth="1"/>
    <col min="15108" max="15108" width="16.140625" style="86" customWidth="1"/>
    <col min="15109" max="15109" width="16" style="86" customWidth="1"/>
    <col min="15110" max="15110" width="14.85546875" style="86" customWidth="1"/>
    <col min="15111" max="15111" width="17.140625" style="86" customWidth="1"/>
    <col min="15112" max="15112" width="15" style="86" customWidth="1"/>
    <col min="15113" max="15113" width="12.42578125" style="86" customWidth="1"/>
    <col min="15114" max="15114" width="12" style="86" customWidth="1"/>
    <col min="15115" max="15115" width="11.85546875" style="86" customWidth="1"/>
    <col min="15116" max="15359" width="9.140625" style="86"/>
    <col min="15360" max="15360" width="8.28515625" style="86" customWidth="1"/>
    <col min="15361" max="15361" width="15.5703125" style="86" customWidth="1"/>
    <col min="15362" max="15362" width="15.28515625" style="86" customWidth="1"/>
    <col min="15363" max="15363" width="17.42578125" style="86" customWidth="1"/>
    <col min="15364" max="15364" width="16.140625" style="86" customWidth="1"/>
    <col min="15365" max="15365" width="16" style="86" customWidth="1"/>
    <col min="15366" max="15366" width="14.85546875" style="86" customWidth="1"/>
    <col min="15367" max="15367" width="17.140625" style="86" customWidth="1"/>
    <col min="15368" max="15368" width="15" style="86" customWidth="1"/>
    <col min="15369" max="15369" width="12.42578125" style="86" customWidth="1"/>
    <col min="15370" max="15370" width="12" style="86" customWidth="1"/>
    <col min="15371" max="15371" width="11.85546875" style="86" customWidth="1"/>
    <col min="15372" max="15615" width="9.140625" style="86"/>
    <col min="15616" max="15616" width="8.28515625" style="86" customWidth="1"/>
    <col min="15617" max="15617" width="15.5703125" style="86" customWidth="1"/>
    <col min="15618" max="15618" width="15.28515625" style="86" customWidth="1"/>
    <col min="15619" max="15619" width="17.42578125" style="86" customWidth="1"/>
    <col min="15620" max="15620" width="16.140625" style="86" customWidth="1"/>
    <col min="15621" max="15621" width="16" style="86" customWidth="1"/>
    <col min="15622" max="15622" width="14.85546875" style="86" customWidth="1"/>
    <col min="15623" max="15623" width="17.140625" style="86" customWidth="1"/>
    <col min="15624" max="15624" width="15" style="86" customWidth="1"/>
    <col min="15625" max="15625" width="12.42578125" style="86" customWidth="1"/>
    <col min="15626" max="15626" width="12" style="86" customWidth="1"/>
    <col min="15627" max="15627" width="11.85546875" style="86" customWidth="1"/>
    <col min="15628" max="15871" width="9.140625" style="86"/>
    <col min="15872" max="15872" width="8.28515625" style="86" customWidth="1"/>
    <col min="15873" max="15873" width="15.5703125" style="86" customWidth="1"/>
    <col min="15874" max="15874" width="15.28515625" style="86" customWidth="1"/>
    <col min="15875" max="15875" width="17.42578125" style="86" customWidth="1"/>
    <col min="15876" max="15876" width="16.140625" style="86" customWidth="1"/>
    <col min="15877" max="15877" width="16" style="86" customWidth="1"/>
    <col min="15878" max="15878" width="14.85546875" style="86" customWidth="1"/>
    <col min="15879" max="15879" width="17.140625" style="86" customWidth="1"/>
    <col min="15880" max="15880" width="15" style="86" customWidth="1"/>
    <col min="15881" max="15881" width="12.42578125" style="86" customWidth="1"/>
    <col min="15882" max="15882" width="12" style="86" customWidth="1"/>
    <col min="15883" max="15883" width="11.85546875" style="86" customWidth="1"/>
    <col min="15884" max="16127" width="9.140625" style="86"/>
    <col min="16128" max="16128" width="8.28515625" style="86" customWidth="1"/>
    <col min="16129" max="16129" width="15.5703125" style="86" customWidth="1"/>
    <col min="16130" max="16130" width="15.28515625" style="86" customWidth="1"/>
    <col min="16131" max="16131" width="17.42578125" style="86" customWidth="1"/>
    <col min="16132" max="16132" width="16.140625" style="86" customWidth="1"/>
    <col min="16133" max="16133" width="16" style="86" customWidth="1"/>
    <col min="16134" max="16134" width="14.85546875" style="86" customWidth="1"/>
    <col min="16135" max="16135" width="17.140625" style="86" customWidth="1"/>
    <col min="16136" max="16136" width="15" style="86" customWidth="1"/>
    <col min="16137" max="16137" width="12.42578125" style="86" customWidth="1"/>
    <col min="16138" max="16138" width="12" style="86" customWidth="1"/>
    <col min="16139" max="16139" width="11.85546875" style="86" customWidth="1"/>
    <col min="16140" max="16384" width="9.140625" style="86"/>
  </cols>
  <sheetData>
    <row r="1" spans="1:13" ht="18">
      <c r="A1" s="907" t="s">
        <v>0</v>
      </c>
      <c r="B1" s="907"/>
      <c r="C1" s="907"/>
      <c r="D1" s="907"/>
      <c r="E1" s="907"/>
      <c r="F1" s="907"/>
      <c r="G1" s="907"/>
      <c r="H1" s="907"/>
      <c r="I1" s="907"/>
      <c r="J1" s="907"/>
      <c r="K1" s="907"/>
      <c r="L1" s="346" t="s">
        <v>883</v>
      </c>
    </row>
    <row r="2" spans="1:13" ht="21">
      <c r="A2" s="908" t="s">
        <v>745</v>
      </c>
      <c r="B2" s="908"/>
      <c r="C2" s="908"/>
      <c r="D2" s="908"/>
      <c r="E2" s="908"/>
      <c r="F2" s="908"/>
      <c r="G2" s="908"/>
      <c r="H2" s="908"/>
      <c r="I2" s="908"/>
      <c r="J2" s="908"/>
      <c r="K2" s="908"/>
      <c r="L2" s="908"/>
    </row>
    <row r="3" spans="1:13" ht="15">
      <c r="A3" s="347"/>
      <c r="B3" s="347"/>
    </row>
    <row r="4" spans="1:13" ht="18" customHeight="1">
      <c r="A4" s="909" t="s">
        <v>882</v>
      </c>
      <c r="B4" s="909"/>
      <c r="C4" s="909"/>
      <c r="D4" s="909"/>
      <c r="E4" s="909"/>
      <c r="F4" s="909"/>
      <c r="G4" s="909"/>
      <c r="H4" s="909"/>
      <c r="I4" s="909"/>
      <c r="J4" s="909"/>
      <c r="K4" s="909"/>
      <c r="L4" s="909"/>
    </row>
    <row r="5" spans="1:13" ht="15">
      <c r="A5" s="348" t="s">
        <v>948</v>
      </c>
      <c r="B5" s="348"/>
    </row>
    <row r="6" spans="1:13" ht="15">
      <c r="A6" s="348"/>
      <c r="B6" s="348"/>
    </row>
    <row r="7" spans="1:13" ht="15">
      <c r="A7" s="906" t="s">
        <v>884</v>
      </c>
      <c r="B7" s="906"/>
      <c r="C7" s="906"/>
      <c r="D7" s="94">
        <f>53981.83*100000</f>
        <v>5398183000</v>
      </c>
      <c r="K7" s="910" t="s">
        <v>891</v>
      </c>
      <c r="L7" s="910"/>
    </row>
    <row r="8" spans="1:13" ht="15">
      <c r="A8" s="906" t="s">
        <v>892</v>
      </c>
      <c r="B8" s="906"/>
      <c r="C8" s="906"/>
      <c r="D8" s="94">
        <f>D7</f>
        <v>5398183000</v>
      </c>
      <c r="K8" s="349"/>
      <c r="L8" s="349"/>
    </row>
    <row r="9" spans="1:13" ht="15">
      <c r="A9" s="348"/>
      <c r="B9" s="348"/>
      <c r="J9" s="902" t="s">
        <v>831</v>
      </c>
      <c r="K9" s="902"/>
      <c r="L9" s="902"/>
    </row>
    <row r="10" spans="1:13" ht="49.5" customHeight="1">
      <c r="A10" s="903" t="s">
        <v>2</v>
      </c>
      <c r="B10" s="904" t="s">
        <v>75</v>
      </c>
      <c r="C10" s="905" t="s">
        <v>865</v>
      </c>
      <c r="D10" s="905"/>
      <c r="E10" s="905"/>
      <c r="F10" s="905"/>
      <c r="G10" s="905" t="s">
        <v>866</v>
      </c>
      <c r="H10" s="905"/>
      <c r="I10" s="905"/>
      <c r="J10" s="905"/>
      <c r="K10" s="905" t="s">
        <v>870</v>
      </c>
      <c r="L10" s="905" t="s">
        <v>867</v>
      </c>
    </row>
    <row r="11" spans="1:13" s="346" customFormat="1" ht="76.5" customHeight="1">
      <c r="A11" s="903"/>
      <c r="B11" s="904"/>
      <c r="C11" s="350" t="s">
        <v>871</v>
      </c>
      <c r="D11" s="351" t="s">
        <v>868</v>
      </c>
      <c r="E11" s="351" t="s">
        <v>869</v>
      </c>
      <c r="F11" s="350" t="s">
        <v>872</v>
      </c>
      <c r="G11" s="350" t="s">
        <v>871</v>
      </c>
      <c r="H11" s="351" t="s">
        <v>868</v>
      </c>
      <c r="I11" s="351" t="s">
        <v>869</v>
      </c>
      <c r="J11" s="350" t="s">
        <v>872</v>
      </c>
      <c r="K11" s="905"/>
      <c r="L11" s="905"/>
    </row>
    <row r="12" spans="1:13" s="346" customFormat="1" ht="15">
      <c r="A12" s="352">
        <v>1</v>
      </c>
      <c r="B12" s="353">
        <v>2</v>
      </c>
      <c r="C12" s="354">
        <v>3</v>
      </c>
      <c r="D12" s="353">
        <v>4</v>
      </c>
      <c r="E12" s="353">
        <v>5</v>
      </c>
      <c r="F12" s="354">
        <v>6</v>
      </c>
      <c r="G12" s="353">
        <v>7</v>
      </c>
      <c r="H12" s="353">
        <v>8</v>
      </c>
      <c r="I12" s="354">
        <v>9</v>
      </c>
      <c r="J12" s="353">
        <v>10</v>
      </c>
      <c r="K12" s="353">
        <v>11</v>
      </c>
      <c r="L12" s="354">
        <v>12</v>
      </c>
    </row>
    <row r="13" spans="1:13">
      <c r="A13" s="93">
        <v>1</v>
      </c>
      <c r="B13" s="355" t="s">
        <v>873</v>
      </c>
      <c r="C13" s="355">
        <v>28185600</v>
      </c>
      <c r="D13" s="355">
        <v>28185600</v>
      </c>
      <c r="E13" s="355">
        <v>0</v>
      </c>
      <c r="F13" s="355">
        <v>28185600</v>
      </c>
      <c r="G13" s="482">
        <v>165835544</v>
      </c>
      <c r="H13" s="482">
        <v>165835544</v>
      </c>
      <c r="I13" s="355">
        <v>0</v>
      </c>
      <c r="J13" s="482">
        <v>165835544</v>
      </c>
      <c r="K13" s="482">
        <f>F13+J13</f>
        <v>194021144</v>
      </c>
      <c r="L13" s="355"/>
    </row>
    <row r="14" spans="1:13">
      <c r="A14" s="93">
        <v>2</v>
      </c>
      <c r="B14" s="94" t="s">
        <v>874</v>
      </c>
      <c r="C14" s="355">
        <v>28185000</v>
      </c>
      <c r="D14" s="355">
        <v>28185000</v>
      </c>
      <c r="E14" s="355">
        <v>0</v>
      </c>
      <c r="F14" s="355">
        <v>28185000</v>
      </c>
      <c r="G14" s="482">
        <v>136693842</v>
      </c>
      <c r="H14" s="483">
        <v>136693842</v>
      </c>
      <c r="I14" s="355">
        <v>0</v>
      </c>
      <c r="J14" s="483">
        <v>136693842</v>
      </c>
      <c r="K14" s="482">
        <f t="shared" ref="K14:K21" si="0">F14+J14</f>
        <v>164878842</v>
      </c>
      <c r="L14" s="94"/>
      <c r="M14" s="738"/>
    </row>
    <row r="15" spans="1:13">
      <c r="A15" s="93">
        <v>3</v>
      </c>
      <c r="B15" s="94" t="s">
        <v>875</v>
      </c>
      <c r="C15" s="355">
        <v>70756200</v>
      </c>
      <c r="D15" s="355">
        <v>70756200</v>
      </c>
      <c r="E15" s="355">
        <v>0</v>
      </c>
      <c r="F15" s="355">
        <v>70756200</v>
      </c>
      <c r="G15" s="482">
        <v>345246305</v>
      </c>
      <c r="H15" s="483">
        <v>345246305</v>
      </c>
      <c r="I15" s="355">
        <v>0</v>
      </c>
      <c r="J15" s="483">
        <v>349043457</v>
      </c>
      <c r="K15" s="482">
        <f t="shared" si="0"/>
        <v>419799657</v>
      </c>
      <c r="L15" s="94"/>
    </row>
    <row r="16" spans="1:13">
      <c r="A16" s="93">
        <v>4</v>
      </c>
      <c r="B16" s="94" t="s">
        <v>876</v>
      </c>
      <c r="C16" s="355">
        <v>70756200</v>
      </c>
      <c r="D16" s="355">
        <v>70756200</v>
      </c>
      <c r="E16" s="355">
        <v>0</v>
      </c>
      <c r="F16" s="355">
        <v>70756200</v>
      </c>
      <c r="G16" s="482">
        <v>390165116</v>
      </c>
      <c r="H16" s="483">
        <v>390165116</v>
      </c>
      <c r="I16" s="355">
        <v>0</v>
      </c>
      <c r="J16" s="483">
        <v>393962268</v>
      </c>
      <c r="K16" s="482">
        <f t="shared" si="0"/>
        <v>464718468</v>
      </c>
      <c r="L16" s="94"/>
    </row>
    <row r="17" spans="1:12">
      <c r="A17" s="93">
        <v>5</v>
      </c>
      <c r="B17" s="94" t="s">
        <v>877</v>
      </c>
      <c r="C17" s="355">
        <v>70756200</v>
      </c>
      <c r="D17" s="355">
        <v>70756200</v>
      </c>
      <c r="E17" s="355">
        <v>0</v>
      </c>
      <c r="F17" s="355">
        <v>70756200</v>
      </c>
      <c r="G17" s="482">
        <v>377441393</v>
      </c>
      <c r="H17" s="483">
        <v>377441393</v>
      </c>
      <c r="I17" s="355">
        <v>0</v>
      </c>
      <c r="J17" s="483">
        <v>381238545</v>
      </c>
      <c r="K17" s="482">
        <f t="shared" si="0"/>
        <v>451994745</v>
      </c>
      <c r="L17" s="94"/>
    </row>
    <row r="18" spans="1:12">
      <c r="A18" s="93">
        <v>6</v>
      </c>
      <c r="B18" s="94" t="s">
        <v>878</v>
      </c>
      <c r="C18" s="355">
        <v>70756200</v>
      </c>
      <c r="D18" s="355">
        <v>70756200</v>
      </c>
      <c r="E18" s="355">
        <v>0</v>
      </c>
      <c r="F18" s="355">
        <v>70756200</v>
      </c>
      <c r="G18" s="482">
        <v>326545630</v>
      </c>
      <c r="H18" s="483">
        <v>326545630</v>
      </c>
      <c r="I18" s="355">
        <v>0</v>
      </c>
      <c r="J18" s="483">
        <v>330342782</v>
      </c>
      <c r="K18" s="482">
        <f t="shared" si="0"/>
        <v>401098982</v>
      </c>
      <c r="L18" s="94"/>
    </row>
    <row r="19" spans="1:12">
      <c r="A19" s="93">
        <v>7</v>
      </c>
      <c r="B19" s="94" t="s">
        <v>879</v>
      </c>
      <c r="C19" s="355">
        <v>70756200</v>
      </c>
      <c r="D19" s="355">
        <v>70756200</v>
      </c>
      <c r="E19" s="355">
        <v>0</v>
      </c>
      <c r="F19" s="355">
        <v>70756200</v>
      </c>
      <c r="G19" s="482">
        <v>253058005</v>
      </c>
      <c r="H19" s="483">
        <v>253058005</v>
      </c>
      <c r="I19" s="355">
        <v>0</v>
      </c>
      <c r="J19" s="483">
        <v>251266351</v>
      </c>
      <c r="K19" s="482">
        <f t="shared" si="0"/>
        <v>322022551</v>
      </c>
      <c r="L19" s="94"/>
    </row>
    <row r="20" spans="1:12">
      <c r="A20" s="93">
        <v>8</v>
      </c>
      <c r="B20" s="94" t="s">
        <v>880</v>
      </c>
      <c r="C20" s="355">
        <v>70756200</v>
      </c>
      <c r="D20" s="355">
        <v>70756200</v>
      </c>
      <c r="E20" s="355">
        <v>0</v>
      </c>
      <c r="F20" s="355">
        <v>70756200</v>
      </c>
      <c r="G20" s="482">
        <v>391314286</v>
      </c>
      <c r="H20" s="483">
        <v>391314286</v>
      </c>
      <c r="I20" s="355">
        <v>0</v>
      </c>
      <c r="J20" s="483">
        <v>385533294</v>
      </c>
      <c r="K20" s="482">
        <f t="shared" si="0"/>
        <v>456289494</v>
      </c>
      <c r="L20" s="94"/>
    </row>
    <row r="21" spans="1:12">
      <c r="A21" s="93">
        <v>9</v>
      </c>
      <c r="B21" s="94" t="s">
        <v>881</v>
      </c>
      <c r="C21" s="355">
        <v>70756200</v>
      </c>
      <c r="D21" s="355">
        <v>70756200</v>
      </c>
      <c r="E21" s="355">
        <v>0</v>
      </c>
      <c r="F21" s="355">
        <v>70756200</v>
      </c>
      <c r="G21" s="482">
        <v>391310616</v>
      </c>
      <c r="H21" s="483">
        <v>391310616</v>
      </c>
      <c r="I21" s="355">
        <v>0</v>
      </c>
      <c r="J21" s="483">
        <v>385530068</v>
      </c>
      <c r="K21" s="482">
        <f t="shared" si="0"/>
        <v>456286268</v>
      </c>
      <c r="L21" s="94"/>
    </row>
    <row r="22" spans="1:12">
      <c r="A22" s="90" t="s">
        <v>17</v>
      </c>
      <c r="B22" s="94"/>
      <c r="C22" s="484">
        <f>SUM(C12:C21)</f>
        <v>551664003</v>
      </c>
      <c r="D22" s="484">
        <f>SUM(D12:D21)</f>
        <v>551664004</v>
      </c>
      <c r="E22" s="484">
        <f t="shared" ref="E22:K22" si="1">SUM(E13:E21)</f>
        <v>0</v>
      </c>
      <c r="F22" s="484">
        <f t="shared" si="1"/>
        <v>551664000</v>
      </c>
      <c r="G22" s="485">
        <f t="shared" si="1"/>
        <v>2777610737</v>
      </c>
      <c r="H22" s="485">
        <f t="shared" si="1"/>
        <v>2777610737</v>
      </c>
      <c r="I22" s="485">
        <f t="shared" si="1"/>
        <v>0</v>
      </c>
      <c r="J22" s="314">
        <f t="shared" si="1"/>
        <v>2779446151</v>
      </c>
      <c r="K22" s="314">
        <f t="shared" si="1"/>
        <v>3331110151</v>
      </c>
      <c r="L22" s="94"/>
    </row>
    <row r="24" spans="1:12" ht="15" customHeight="1">
      <c r="A24" s="356" t="s">
        <v>885</v>
      </c>
      <c r="B24" s="345"/>
      <c r="C24" s="345"/>
      <c r="D24" s="345"/>
      <c r="E24" s="345"/>
      <c r="F24" s="345"/>
      <c r="G24" s="345"/>
      <c r="H24" s="345"/>
      <c r="I24" s="345"/>
      <c r="J24" s="345"/>
    </row>
    <row r="25" spans="1:12" ht="15" customHeight="1">
      <c r="A25" s="898" t="s">
        <v>893</v>
      </c>
      <c r="B25" s="898"/>
      <c r="C25" s="898"/>
      <c r="D25" s="898"/>
      <c r="E25" s="898"/>
      <c r="F25" s="898"/>
      <c r="G25" s="898"/>
      <c r="H25" s="898"/>
      <c r="I25" s="898"/>
      <c r="J25" s="898"/>
    </row>
    <row r="26" spans="1:12" ht="15" customHeight="1">
      <c r="A26" s="898" t="s">
        <v>894</v>
      </c>
      <c r="B26" s="898"/>
      <c r="C26" s="898"/>
      <c r="D26" s="898"/>
      <c r="E26" s="357"/>
      <c r="F26" s="357"/>
      <c r="G26" s="357"/>
      <c r="H26" s="357"/>
      <c r="I26" s="357"/>
      <c r="J26" s="357"/>
    </row>
    <row r="27" spans="1:12" ht="15" customHeight="1">
      <c r="A27" s="898" t="s">
        <v>895</v>
      </c>
      <c r="B27" s="898"/>
      <c r="C27" s="898"/>
      <c r="D27" s="898"/>
      <c r="E27" s="898"/>
      <c r="F27" s="898"/>
      <c r="G27" s="898"/>
      <c r="H27" s="898"/>
      <c r="I27" s="898"/>
      <c r="J27" s="898"/>
    </row>
    <row r="28" spans="1:12" ht="13.5" customHeight="1">
      <c r="A28" s="899"/>
      <c r="B28" s="900"/>
      <c r="C28" s="900"/>
      <c r="D28" s="900"/>
      <c r="E28" s="900"/>
      <c r="F28" s="900"/>
      <c r="G28" s="900"/>
      <c r="H28" s="900"/>
      <c r="I28" s="898"/>
      <c r="J28" s="898"/>
    </row>
    <row r="29" spans="1:12" ht="15" customHeight="1">
      <c r="A29" s="358"/>
      <c r="B29" s="359"/>
      <c r="C29" s="359"/>
      <c r="D29" s="359"/>
      <c r="E29" s="359"/>
      <c r="F29" s="359"/>
      <c r="G29" s="359"/>
      <c r="H29" s="359"/>
      <c r="I29" s="358"/>
      <c r="J29" s="358"/>
    </row>
    <row r="30" spans="1:12" ht="15" customHeight="1">
      <c r="A30" s="803" t="s">
        <v>906</v>
      </c>
      <c r="B30" s="803"/>
      <c r="C30" s="803"/>
      <c r="D30" s="773"/>
      <c r="J30" s="901" t="s">
        <v>12</v>
      </c>
      <c r="K30" s="901"/>
      <c r="L30" s="901"/>
    </row>
    <row r="31" spans="1:12" ht="15" customHeight="1">
      <c r="A31" s="804" t="s">
        <v>907</v>
      </c>
      <c r="B31" s="804"/>
      <c r="C31" s="804"/>
      <c r="D31" s="772"/>
      <c r="J31" s="901" t="s">
        <v>13</v>
      </c>
      <c r="K31" s="901"/>
      <c r="L31" s="901"/>
    </row>
    <row r="32" spans="1:12" ht="15" customHeight="1">
      <c r="A32" s="804" t="s">
        <v>908</v>
      </c>
      <c r="B32" s="804"/>
      <c r="C32" s="804"/>
      <c r="D32" s="772"/>
      <c r="J32" s="901" t="s">
        <v>87</v>
      </c>
      <c r="K32" s="901"/>
      <c r="L32" s="901"/>
    </row>
    <row r="33" spans="2:12" ht="15" customHeight="1">
      <c r="B33" s="204" t="s">
        <v>11</v>
      </c>
      <c r="C33"/>
      <c r="D33" s="204"/>
      <c r="E33" s="204"/>
      <c r="F33" s="204"/>
      <c r="J33" s="897" t="s">
        <v>84</v>
      </c>
      <c r="K33" s="897"/>
      <c r="L33" s="463"/>
    </row>
  </sheetData>
  <mergeCells count="27">
    <mergeCell ref="A8:C8"/>
    <mergeCell ref="A1:K1"/>
    <mergeCell ref="A2:L2"/>
    <mergeCell ref="A4:L4"/>
    <mergeCell ref="A7:C7"/>
    <mergeCell ref="K7:L7"/>
    <mergeCell ref="J9:L9"/>
    <mergeCell ref="A10:A11"/>
    <mergeCell ref="B10:B11"/>
    <mergeCell ref="C10:F10"/>
    <mergeCell ref="G10:J10"/>
    <mergeCell ref="K10:K11"/>
    <mergeCell ref="L10:L11"/>
    <mergeCell ref="A32:C32"/>
    <mergeCell ref="J33:K33"/>
    <mergeCell ref="A25:J25"/>
    <mergeCell ref="A26:D26"/>
    <mergeCell ref="A27:D27"/>
    <mergeCell ref="E27:H27"/>
    <mergeCell ref="I27:J27"/>
    <mergeCell ref="A28:H28"/>
    <mergeCell ref="I28:J28"/>
    <mergeCell ref="J30:L30"/>
    <mergeCell ref="J31:L31"/>
    <mergeCell ref="J32:L32"/>
    <mergeCell ref="A30:C30"/>
    <mergeCell ref="A31:C31"/>
  </mergeCells>
  <printOptions horizontalCentered="1"/>
  <pageMargins left="0.70866141732283505" right="0.70866141732283505" top="0.98622047199999996" bottom="0" header="0.31496062992126" footer="0.31496062992126"/>
  <pageSetup paperSize="9" scale="84" orientation="landscape" r:id="rId1"/>
</worksheet>
</file>

<file path=xl/worksheets/sheet70.xml><?xml version="1.0" encoding="utf-8"?>
<worksheet xmlns="http://schemas.openxmlformats.org/spreadsheetml/2006/main" xmlns:r="http://schemas.openxmlformats.org/officeDocument/2006/relationships">
  <sheetPr codeName="Sheet70">
    <pageSetUpPr fitToPage="1"/>
  </sheetPr>
  <dimension ref="A1:IU38"/>
  <sheetViews>
    <sheetView view="pageBreakPreview" topLeftCell="A10" zoomScale="85" zoomScaleNormal="90" zoomScaleSheetLayoutView="85" workbookViewId="0">
      <pane xSplit="2" ySplit="5" topLeftCell="M24" activePane="bottomRight" state="frozen"/>
      <selection activeCell="A10" sqref="A10"/>
      <selection pane="topRight" activeCell="C10" sqref="C10"/>
      <selection pane="bottomLeft" activeCell="A15" sqref="A15"/>
      <selection pane="bottomRight" activeCell="Z39" sqref="Z39"/>
    </sheetView>
  </sheetViews>
  <sheetFormatPr defaultRowHeight="12.75"/>
  <cols>
    <col min="1" max="1" width="4.7109375" style="169" customWidth="1"/>
    <col min="2" max="2" width="27.5703125" style="169" customWidth="1"/>
    <col min="3" max="3" width="10.42578125" style="169" customWidth="1"/>
    <col min="4" max="4" width="9.140625" style="169" customWidth="1"/>
    <col min="5" max="6" width="9.7109375" style="169" customWidth="1"/>
    <col min="7" max="7" width="10" style="169" bestFit="1" customWidth="1"/>
    <col min="8" max="8" width="9.140625" style="169" customWidth="1"/>
    <col min="9" max="9" width="9.85546875" style="169" bestFit="1" customWidth="1"/>
    <col min="10" max="10" width="10" style="169" bestFit="1" customWidth="1"/>
    <col min="11" max="11" width="9.85546875" style="169" customWidth="1"/>
    <col min="12" max="12" width="8.85546875" style="169" customWidth="1"/>
    <col min="13" max="13" width="8.85546875" style="169" bestFit="1" customWidth="1"/>
    <col min="14" max="14" width="10.140625" style="169" bestFit="1" customWidth="1"/>
    <col min="15" max="15" width="9.85546875" style="169" customWidth="1"/>
    <col min="16" max="16" width="9.28515625" style="169" customWidth="1"/>
    <col min="17" max="18" width="10" style="169" customWidth="1"/>
    <col min="19" max="19" width="10.140625" style="169" bestFit="1" customWidth="1"/>
    <col min="20" max="20" width="9.85546875" style="169" bestFit="1" customWidth="1"/>
    <col min="21" max="21" width="9.140625" style="169" customWidth="1"/>
    <col min="22" max="22" width="13.85546875" style="169" bestFit="1" customWidth="1"/>
    <col min="23" max="23" width="10.140625" style="169" bestFit="1" customWidth="1"/>
    <col min="24" max="24" width="8.5703125" style="169" customWidth="1"/>
    <col min="25" max="25" width="9.42578125" style="169" customWidth="1"/>
    <col min="26" max="26" width="13.85546875" style="169" bestFit="1" customWidth="1"/>
    <col min="27" max="27" width="10.85546875" style="169" customWidth="1"/>
    <col min="28" max="28" width="10.7109375" style="169" customWidth="1"/>
    <col min="29" max="29" width="10" style="169" customWidth="1"/>
    <col min="30" max="30" width="10" style="169" bestFit="1" customWidth="1"/>
    <col min="31" max="16384" width="9.140625" style="169"/>
  </cols>
  <sheetData>
    <row r="1" spans="1:255" ht="15">
      <c r="S1" s="1209" t="s">
        <v>554</v>
      </c>
      <c r="T1" s="1209"/>
      <c r="U1" s="1209"/>
      <c r="V1" s="1209"/>
      <c r="W1" s="1209"/>
      <c r="X1" s="1209"/>
      <c r="Y1" s="1209"/>
      <c r="Z1" s="1209"/>
      <c r="AA1" s="1209"/>
    </row>
    <row r="2" spans="1:255" ht="15.75">
      <c r="H2" s="170"/>
      <c r="I2" s="170"/>
      <c r="J2" s="170"/>
      <c r="K2" s="171"/>
      <c r="L2" s="170" t="s">
        <v>0</v>
      </c>
      <c r="M2" s="171"/>
      <c r="N2" s="171"/>
      <c r="O2" s="171"/>
      <c r="P2" s="171"/>
      <c r="Q2" s="171"/>
      <c r="R2" s="171"/>
      <c r="S2" s="171"/>
      <c r="T2" s="171"/>
      <c r="U2" s="171"/>
      <c r="V2" s="171"/>
      <c r="W2" s="171"/>
      <c r="X2" s="171"/>
      <c r="Y2" s="171"/>
      <c r="Z2" s="171"/>
      <c r="AA2" s="171"/>
    </row>
    <row r="3" spans="1:255" ht="15.75">
      <c r="G3" s="170"/>
      <c r="H3" s="170"/>
      <c r="I3" s="170"/>
      <c r="J3" s="170"/>
      <c r="K3" s="171"/>
      <c r="L3" s="171"/>
      <c r="M3" s="171"/>
      <c r="N3" s="171"/>
      <c r="O3" s="171"/>
      <c r="P3" s="171"/>
      <c r="Q3" s="171"/>
      <c r="R3" s="171"/>
      <c r="S3" s="171"/>
      <c r="T3" s="171"/>
      <c r="U3" s="171"/>
      <c r="V3" s="171"/>
      <c r="W3" s="171"/>
      <c r="X3" s="171"/>
      <c r="Y3" s="171"/>
      <c r="Z3" s="171"/>
      <c r="AA3" s="171"/>
    </row>
    <row r="4" spans="1:255" ht="18">
      <c r="B4" s="1210" t="s">
        <v>745</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c r="Z4" s="1210"/>
      <c r="AA4" s="1210"/>
    </row>
    <row r="6" spans="1:255" ht="15.75">
      <c r="B6" s="1211" t="s">
        <v>763</v>
      </c>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row>
    <row r="8" spans="1:255">
      <c r="A8" s="1212" t="s">
        <v>948</v>
      </c>
      <c r="B8" s="1212"/>
    </row>
    <row r="9" spans="1:255" ht="18">
      <c r="A9" s="172"/>
      <c r="B9" s="172"/>
      <c r="AB9" s="1196" t="s">
        <v>248</v>
      </c>
      <c r="AC9" s="1196"/>
    </row>
    <row r="10" spans="1:255" ht="12.75" customHeight="1">
      <c r="A10" s="1197" t="s">
        <v>2</v>
      </c>
      <c r="B10" s="1197" t="s">
        <v>111</v>
      </c>
      <c r="C10" s="1199" t="s">
        <v>25</v>
      </c>
      <c r="D10" s="1200"/>
      <c r="E10" s="1200"/>
      <c r="F10" s="1200"/>
      <c r="G10" s="1200"/>
      <c r="H10" s="1200"/>
      <c r="I10" s="1200"/>
      <c r="J10" s="1200"/>
      <c r="K10" s="1200"/>
      <c r="L10" s="1200"/>
      <c r="M10" s="1201"/>
      <c r="N10" s="695"/>
      <c r="O10" s="1203" t="s">
        <v>26</v>
      </c>
      <c r="P10" s="1203"/>
      <c r="Q10" s="1203"/>
      <c r="R10" s="1203"/>
      <c r="S10" s="1203"/>
      <c r="T10" s="1203"/>
      <c r="U10" s="1203"/>
      <c r="V10" s="1203"/>
      <c r="W10" s="1203"/>
      <c r="X10" s="1203"/>
      <c r="Y10" s="1203"/>
      <c r="Z10" s="1203"/>
      <c r="AA10" s="1202" t="s">
        <v>141</v>
      </c>
      <c r="AB10" s="1202"/>
      <c r="AC10" s="1202"/>
      <c r="AD10" s="1202"/>
      <c r="AE10" s="174"/>
      <c r="AF10" s="174"/>
      <c r="AG10" s="174"/>
      <c r="AH10" s="174"/>
      <c r="AI10" s="175"/>
      <c r="AJ10" s="176"/>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c r="IR10" s="174"/>
      <c r="IS10" s="174"/>
      <c r="IT10" s="174"/>
      <c r="IU10" s="174"/>
    </row>
    <row r="11" spans="1:255" ht="12.75" customHeight="1">
      <c r="A11" s="1198"/>
      <c r="B11" s="1198"/>
      <c r="C11" s="1204" t="s">
        <v>174</v>
      </c>
      <c r="D11" s="1205"/>
      <c r="E11" s="1206"/>
      <c r="F11" s="696"/>
      <c r="G11" s="1204" t="s">
        <v>175</v>
      </c>
      <c r="H11" s="1205"/>
      <c r="I11" s="1206"/>
      <c r="J11" s="696"/>
      <c r="K11" s="1204" t="s">
        <v>17</v>
      </c>
      <c r="L11" s="1205"/>
      <c r="M11" s="1206"/>
      <c r="N11" s="696"/>
      <c r="O11" s="1204" t="s">
        <v>174</v>
      </c>
      <c r="P11" s="1205"/>
      <c r="Q11" s="1205"/>
      <c r="R11" s="1206"/>
      <c r="S11" s="1204" t="s">
        <v>175</v>
      </c>
      <c r="T11" s="1205"/>
      <c r="U11" s="1205"/>
      <c r="V11" s="1206"/>
      <c r="W11" s="1204" t="s">
        <v>17</v>
      </c>
      <c r="X11" s="1205"/>
      <c r="Y11" s="1205"/>
      <c r="Z11" s="1206"/>
      <c r="AA11" s="1202"/>
      <c r="AB11" s="1202"/>
      <c r="AC11" s="1202"/>
      <c r="AD11" s="1202"/>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c r="IU11" s="174"/>
    </row>
    <row r="12" spans="1:255">
      <c r="A12" s="173"/>
      <c r="B12" s="173"/>
      <c r="C12" s="177" t="s">
        <v>249</v>
      </c>
      <c r="D12" s="178" t="s">
        <v>43</v>
      </c>
      <c r="E12" s="179" t="s">
        <v>44</v>
      </c>
      <c r="F12" s="696" t="s">
        <v>998</v>
      </c>
      <c r="G12" s="177" t="s">
        <v>249</v>
      </c>
      <c r="H12" s="178" t="s">
        <v>43</v>
      </c>
      <c r="I12" s="179" t="s">
        <v>44</v>
      </c>
      <c r="J12" s="696" t="s">
        <v>998</v>
      </c>
      <c r="K12" s="177" t="s">
        <v>249</v>
      </c>
      <c r="L12" s="178" t="s">
        <v>43</v>
      </c>
      <c r="M12" s="179" t="s">
        <v>44</v>
      </c>
      <c r="N12" s="696" t="s">
        <v>998</v>
      </c>
      <c r="O12" s="177" t="s">
        <v>249</v>
      </c>
      <c r="P12" s="178" t="s">
        <v>43</v>
      </c>
      <c r="Q12" s="179" t="s">
        <v>44</v>
      </c>
      <c r="R12" s="696" t="s">
        <v>998</v>
      </c>
      <c r="S12" s="177" t="s">
        <v>249</v>
      </c>
      <c r="T12" s="178" t="s">
        <v>43</v>
      </c>
      <c r="U12" s="179" t="s">
        <v>44</v>
      </c>
      <c r="V12" s="696" t="s">
        <v>998</v>
      </c>
      <c r="W12" s="177" t="s">
        <v>249</v>
      </c>
      <c r="X12" s="178" t="s">
        <v>43</v>
      </c>
      <c r="Y12" s="179" t="s">
        <v>44</v>
      </c>
      <c r="Z12" s="697" t="s">
        <v>998</v>
      </c>
      <c r="AA12" s="173" t="s">
        <v>249</v>
      </c>
      <c r="AB12" s="173" t="s">
        <v>43</v>
      </c>
      <c r="AC12" s="173" t="s">
        <v>44</v>
      </c>
      <c r="AD12" s="175" t="s">
        <v>998</v>
      </c>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c r="IR12" s="174"/>
      <c r="IS12" s="174"/>
      <c r="IT12" s="174"/>
      <c r="IU12" s="174"/>
    </row>
    <row r="13" spans="1:255">
      <c r="A13" s="173">
        <v>1</v>
      </c>
      <c r="B13" s="173">
        <v>2</v>
      </c>
      <c r="C13" s="173">
        <v>3</v>
      </c>
      <c r="D13" s="173">
        <v>4</v>
      </c>
      <c r="E13" s="173">
        <v>5</v>
      </c>
      <c r="F13" s="173"/>
      <c r="G13" s="173">
        <v>7</v>
      </c>
      <c r="H13" s="173">
        <v>8</v>
      </c>
      <c r="I13" s="173">
        <v>9</v>
      </c>
      <c r="J13" s="173"/>
      <c r="K13" s="173">
        <v>11</v>
      </c>
      <c r="L13" s="173">
        <v>12</v>
      </c>
      <c r="M13" s="173">
        <v>13</v>
      </c>
      <c r="N13" s="173"/>
      <c r="O13" s="173">
        <v>15</v>
      </c>
      <c r="P13" s="173">
        <v>16</v>
      </c>
      <c r="Q13" s="173">
        <v>17</v>
      </c>
      <c r="R13" s="173"/>
      <c r="S13" s="173">
        <v>19</v>
      </c>
      <c r="T13" s="173">
        <v>20</v>
      </c>
      <c r="U13" s="173">
        <v>21</v>
      </c>
      <c r="V13" s="173"/>
      <c r="W13" s="173">
        <v>23</v>
      </c>
      <c r="X13" s="173">
        <v>24</v>
      </c>
      <c r="Y13" s="173">
        <v>25</v>
      </c>
      <c r="Z13" s="173"/>
      <c r="AA13" s="173">
        <v>27</v>
      </c>
      <c r="AB13" s="173">
        <v>28</v>
      </c>
      <c r="AC13" s="173">
        <v>29</v>
      </c>
      <c r="AD13" s="182"/>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0"/>
      <c r="GE13" s="180"/>
      <c r="GF13" s="180"/>
      <c r="GG13" s="180"/>
      <c r="GH13" s="180"/>
      <c r="GI13" s="180"/>
      <c r="GJ13" s="180"/>
      <c r="GK13" s="180"/>
      <c r="GL13" s="180"/>
      <c r="GM13" s="180"/>
      <c r="GN13" s="180"/>
      <c r="GO13" s="180"/>
      <c r="GP13" s="180"/>
      <c r="GQ13" s="180"/>
      <c r="GR13" s="180"/>
      <c r="GS13" s="180"/>
      <c r="GT13" s="180"/>
      <c r="GU13" s="180"/>
      <c r="GV13" s="180"/>
      <c r="GW13" s="180"/>
      <c r="GX13" s="180"/>
      <c r="GY13" s="180"/>
      <c r="GZ13" s="180"/>
      <c r="HA13" s="180"/>
      <c r="HB13" s="180"/>
      <c r="HC13" s="180"/>
      <c r="HD13" s="180"/>
      <c r="HE13" s="180"/>
      <c r="HF13" s="180"/>
      <c r="HG13" s="180"/>
      <c r="HH13" s="180"/>
      <c r="HI13" s="180"/>
      <c r="HJ13" s="180"/>
      <c r="HK13" s="180"/>
      <c r="HL13" s="180"/>
      <c r="HM13" s="180"/>
      <c r="HN13" s="180"/>
      <c r="HO13" s="180"/>
      <c r="HP13" s="180"/>
      <c r="HQ13" s="180"/>
      <c r="HR13" s="180"/>
      <c r="HS13" s="180"/>
      <c r="HT13" s="180"/>
      <c r="HU13" s="180"/>
      <c r="HV13" s="180"/>
      <c r="HW13" s="180"/>
      <c r="HX13" s="180"/>
      <c r="HY13" s="180"/>
      <c r="HZ13" s="180"/>
      <c r="IA13" s="180"/>
      <c r="IB13" s="180"/>
      <c r="IC13" s="180"/>
      <c r="ID13" s="180"/>
      <c r="IE13" s="180"/>
      <c r="IF13" s="180"/>
      <c r="IG13" s="180"/>
      <c r="IH13" s="180"/>
      <c r="II13" s="180"/>
      <c r="IJ13" s="180"/>
      <c r="IK13" s="180"/>
      <c r="IL13" s="180"/>
      <c r="IM13" s="180"/>
      <c r="IN13" s="180"/>
      <c r="IO13" s="180"/>
      <c r="IP13" s="180"/>
      <c r="IQ13" s="180"/>
      <c r="IR13" s="180"/>
      <c r="IS13" s="180"/>
      <c r="IT13" s="180"/>
      <c r="IU13" s="180"/>
    </row>
    <row r="14" spans="1:255" ht="27.75" customHeight="1">
      <c r="A14" s="1213" t="s">
        <v>241</v>
      </c>
      <c r="B14" s="1214"/>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81"/>
      <c r="AB14" s="182"/>
      <c r="AC14" s="182"/>
      <c r="AD14" s="182"/>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0"/>
      <c r="GD14" s="180"/>
      <c r="GE14" s="180"/>
      <c r="GF14" s="180"/>
      <c r="GG14" s="180"/>
      <c r="GH14" s="180"/>
      <c r="GI14" s="180"/>
      <c r="GJ14" s="180"/>
      <c r="GK14" s="180"/>
      <c r="GL14" s="180"/>
      <c r="GM14" s="180"/>
      <c r="GN14" s="180"/>
      <c r="GO14" s="180"/>
      <c r="GP14" s="180"/>
      <c r="GQ14" s="180"/>
      <c r="GR14" s="180"/>
      <c r="GS14" s="180"/>
      <c r="GT14" s="180"/>
      <c r="GU14" s="180"/>
      <c r="GV14" s="180"/>
      <c r="GW14" s="180"/>
      <c r="GX14" s="180"/>
      <c r="GY14" s="180"/>
      <c r="GZ14" s="180"/>
      <c r="HA14" s="180"/>
      <c r="HB14" s="180"/>
      <c r="HC14" s="180"/>
      <c r="HD14" s="180"/>
      <c r="HE14" s="180"/>
      <c r="HF14" s="180"/>
      <c r="HG14" s="180"/>
      <c r="HH14" s="180"/>
      <c r="HI14" s="180"/>
      <c r="HJ14" s="180"/>
      <c r="HK14" s="180"/>
      <c r="HL14" s="180"/>
      <c r="HM14" s="180"/>
      <c r="HN14" s="180"/>
      <c r="HO14" s="180"/>
      <c r="HP14" s="180"/>
      <c r="HQ14" s="180"/>
      <c r="HR14" s="180"/>
      <c r="HS14" s="180"/>
      <c r="HT14" s="180"/>
      <c r="HU14" s="180"/>
      <c r="HV14" s="180"/>
      <c r="HW14" s="180"/>
      <c r="HX14" s="180"/>
      <c r="HY14" s="180"/>
      <c r="HZ14" s="180"/>
      <c r="IA14" s="180"/>
      <c r="IB14" s="180"/>
      <c r="IC14" s="180"/>
      <c r="ID14" s="180"/>
      <c r="IE14" s="180"/>
      <c r="IF14" s="180"/>
      <c r="IG14" s="180"/>
      <c r="IH14" s="180"/>
      <c r="II14" s="180"/>
      <c r="IJ14" s="180"/>
      <c r="IK14" s="180"/>
      <c r="IL14" s="180"/>
      <c r="IM14" s="180"/>
      <c r="IN14" s="180"/>
      <c r="IO14" s="180"/>
      <c r="IP14" s="180"/>
      <c r="IQ14" s="180"/>
      <c r="IR14" s="180"/>
      <c r="IS14" s="180"/>
      <c r="IT14" s="180"/>
      <c r="IU14" s="180"/>
    </row>
    <row r="15" spans="1:255" s="460" customFormat="1" ht="22.5" customHeight="1">
      <c r="A15" s="183">
        <v>1</v>
      </c>
      <c r="B15" s="184" t="s">
        <v>126</v>
      </c>
      <c r="C15" s="785">
        <f>ROUND(F15*0.73,2)</f>
        <v>1502.6</v>
      </c>
      <c r="D15" s="785">
        <f>ROUND(F15*0.19,2)</f>
        <v>391.09</v>
      </c>
      <c r="E15" s="785">
        <f>F15-C15-D15</f>
        <v>164.66930999999994</v>
      </c>
      <c r="F15" s="785">
        <v>2058.3593099999998</v>
      </c>
      <c r="G15" s="785">
        <f t="shared" ref="G15:G19" si="0">ROUND(J15*0.73,2)</f>
        <v>0</v>
      </c>
      <c r="H15" s="785">
        <f t="shared" ref="H15:H19" si="1">ROUND(J15*0.19,2)</f>
        <v>0</v>
      </c>
      <c r="I15" s="785">
        <f t="shared" ref="I15:I19" si="2">J15-G15-H15</f>
        <v>0</v>
      </c>
      <c r="J15" s="785">
        <v>0</v>
      </c>
      <c r="K15" s="785">
        <f>C15+G15</f>
        <v>1502.6</v>
      </c>
      <c r="L15" s="785">
        <f>D15+H15</f>
        <v>391.09</v>
      </c>
      <c r="M15" s="785">
        <f>E15+I15</f>
        <v>164.66930999999994</v>
      </c>
      <c r="N15" s="785">
        <f>J15+F15</f>
        <v>2058.3593099999998</v>
      </c>
      <c r="O15" s="785">
        <f t="shared" ref="O15:O19" si="3">ROUND(R15*0.73,2)</f>
        <v>1485.15</v>
      </c>
      <c r="P15" s="785">
        <f t="shared" ref="P15:P19" si="4">ROUND(R15*0.19,2)</f>
        <v>386.55</v>
      </c>
      <c r="Q15" s="785">
        <f t="shared" ref="Q15:Q19" si="5">R15-O15-P15</f>
        <v>162.75484899999987</v>
      </c>
      <c r="R15" s="785">
        <v>2034.454849</v>
      </c>
      <c r="S15" s="785">
        <f t="shared" ref="S15:S19" si="6">ROUND(V15*0.73,2)</f>
        <v>0</v>
      </c>
      <c r="T15" s="785">
        <f t="shared" ref="T15:T19" si="7">ROUND(V15*0.19,2)</f>
        <v>0</v>
      </c>
      <c r="U15" s="785">
        <f t="shared" ref="U15:U19" si="8">V15-S15-T15</f>
        <v>0</v>
      </c>
      <c r="V15" s="785">
        <v>0</v>
      </c>
      <c r="W15" s="785">
        <f>O15+S15</f>
        <v>1485.15</v>
      </c>
      <c r="X15" s="785">
        <f>P15+T15</f>
        <v>386.55</v>
      </c>
      <c r="Y15" s="785">
        <f>Q15+U15</f>
        <v>162.75484899999987</v>
      </c>
      <c r="Z15" s="785">
        <f>W15+X15+Y15</f>
        <v>2034.454849</v>
      </c>
      <c r="AA15" s="785">
        <f>K15+W15</f>
        <v>2987.75</v>
      </c>
      <c r="AB15" s="785">
        <f>L15+X15</f>
        <v>777.64</v>
      </c>
      <c r="AC15" s="785">
        <f>M15+Y15</f>
        <v>327.4241589999998</v>
      </c>
      <c r="AD15" s="785">
        <f>Z15+N15</f>
        <v>4092.8141589999996</v>
      </c>
      <c r="AE15" s="735"/>
      <c r="AF15" s="735"/>
      <c r="AG15" s="735"/>
    </row>
    <row r="16" spans="1:255" s="460" customFormat="1" ht="24.75" customHeight="1">
      <c r="A16" s="183">
        <v>2</v>
      </c>
      <c r="B16" s="185" t="s">
        <v>480</v>
      </c>
      <c r="C16" s="785">
        <f t="shared" ref="C16:C19" si="9">ROUND(F16*0.73,2)</f>
        <v>15774.59</v>
      </c>
      <c r="D16" s="785">
        <f t="shared" ref="D16:D19" si="10">ROUND(F16*0.19,2)</f>
        <v>4105.71</v>
      </c>
      <c r="E16" s="785">
        <f t="shared" ref="E16:E19" si="11">F16-C16-D16</f>
        <v>1728.7229404000018</v>
      </c>
      <c r="F16" s="785">
        <v>21609.022940400002</v>
      </c>
      <c r="G16" s="785">
        <f t="shared" si="0"/>
        <v>10534.04</v>
      </c>
      <c r="H16" s="785">
        <f t="shared" si="1"/>
        <v>2741.74</v>
      </c>
      <c r="I16" s="785">
        <f t="shared" si="2"/>
        <v>1154.4064601999999</v>
      </c>
      <c r="J16" s="785">
        <v>14430.186460200001</v>
      </c>
      <c r="K16" s="785">
        <f t="shared" ref="K16:K19" si="12">C16+G16</f>
        <v>26308.63</v>
      </c>
      <c r="L16" s="785">
        <f t="shared" ref="L16:L19" si="13">D16+H16</f>
        <v>6847.45</v>
      </c>
      <c r="M16" s="785">
        <f t="shared" ref="M16:M19" si="14">E16+I16</f>
        <v>2883.1294006000016</v>
      </c>
      <c r="N16" s="785">
        <f t="shared" ref="N16:N19" si="15">J16+F16</f>
        <v>36039.209400600004</v>
      </c>
      <c r="O16" s="785">
        <f t="shared" si="3"/>
        <v>15591.59</v>
      </c>
      <c r="P16" s="785">
        <f t="shared" si="4"/>
        <v>4058.09</v>
      </c>
      <c r="Q16" s="785">
        <f t="shared" si="5"/>
        <v>1708.6654297999994</v>
      </c>
      <c r="R16" s="785">
        <v>21358.3454298</v>
      </c>
      <c r="S16" s="785">
        <f t="shared" si="6"/>
        <v>10394.39</v>
      </c>
      <c r="T16" s="785">
        <f t="shared" si="7"/>
        <v>2705.39</v>
      </c>
      <c r="U16" s="785">
        <f t="shared" si="8"/>
        <v>1139.1169531999999</v>
      </c>
      <c r="V16" s="785">
        <v>14238.896953199999</v>
      </c>
      <c r="W16" s="785">
        <f t="shared" ref="W16:W19" si="16">O16+S16</f>
        <v>25985.98</v>
      </c>
      <c r="X16" s="785">
        <f t="shared" ref="X16:X19" si="17">P16+T16</f>
        <v>6763.48</v>
      </c>
      <c r="Y16" s="785">
        <f t="shared" ref="Y16:Y19" si="18">Q16+U16</f>
        <v>2847.7823829999993</v>
      </c>
      <c r="Z16" s="785">
        <f t="shared" ref="Z16:Z19" si="19">W16+X16+Y16</f>
        <v>35597.242382999997</v>
      </c>
      <c r="AA16" s="785">
        <f t="shared" ref="AA16:AA19" si="20">K16+W16</f>
        <v>52294.61</v>
      </c>
      <c r="AB16" s="785">
        <f t="shared" ref="AB16:AB19" si="21">L16+X16</f>
        <v>13610.93</v>
      </c>
      <c r="AC16" s="785">
        <f t="shared" ref="AC16:AC19" si="22">M16+Y16</f>
        <v>5730.9117836000005</v>
      </c>
      <c r="AD16" s="785">
        <f t="shared" ref="AD16:AD19" si="23">Z16+N16</f>
        <v>71636.451783600001</v>
      </c>
      <c r="AE16" s="735"/>
      <c r="AF16" s="735"/>
      <c r="AG16" s="735"/>
    </row>
    <row r="17" spans="1:33" s="460" customFormat="1" ht="25.5" customHeight="1">
      <c r="A17" s="183">
        <v>3</v>
      </c>
      <c r="B17" s="185" t="s">
        <v>130</v>
      </c>
      <c r="C17" s="785">
        <f t="shared" si="9"/>
        <v>1655.73</v>
      </c>
      <c r="D17" s="785">
        <f t="shared" si="10"/>
        <v>430.94</v>
      </c>
      <c r="E17" s="785">
        <f t="shared" si="11"/>
        <v>181.44999999999987</v>
      </c>
      <c r="F17" s="785">
        <f>N17*60%</f>
        <v>2268.12</v>
      </c>
      <c r="G17" s="785">
        <f t="shared" si="0"/>
        <v>1103.82</v>
      </c>
      <c r="H17" s="785">
        <f t="shared" si="1"/>
        <v>287.3</v>
      </c>
      <c r="I17" s="785">
        <f t="shared" si="2"/>
        <v>120.95999999999998</v>
      </c>
      <c r="J17" s="785">
        <f>N17-F17</f>
        <v>1512.08</v>
      </c>
      <c r="K17" s="785">
        <f t="shared" si="12"/>
        <v>2759.55</v>
      </c>
      <c r="L17" s="785">
        <f t="shared" si="13"/>
        <v>718.24</v>
      </c>
      <c r="M17" s="785">
        <f t="shared" si="14"/>
        <v>302.40999999999985</v>
      </c>
      <c r="N17" s="785">
        <v>3780.2</v>
      </c>
      <c r="O17" s="785">
        <f t="shared" si="3"/>
        <v>3512.63</v>
      </c>
      <c r="P17" s="785">
        <f t="shared" si="4"/>
        <v>914.25</v>
      </c>
      <c r="Q17" s="785">
        <f t="shared" si="5"/>
        <v>384.9399999999996</v>
      </c>
      <c r="R17" s="785">
        <v>4811.82</v>
      </c>
      <c r="S17" s="785">
        <f t="shared" si="6"/>
        <v>2341.75</v>
      </c>
      <c r="T17" s="785">
        <f t="shared" si="7"/>
        <v>609.5</v>
      </c>
      <c r="U17" s="785">
        <f t="shared" si="8"/>
        <v>256.63000000000011</v>
      </c>
      <c r="V17" s="785">
        <v>3207.88</v>
      </c>
      <c r="W17" s="785">
        <f t="shared" si="16"/>
        <v>5854.38</v>
      </c>
      <c r="X17" s="785">
        <f t="shared" si="17"/>
        <v>1523.75</v>
      </c>
      <c r="Y17" s="785">
        <f t="shared" si="18"/>
        <v>641.56999999999971</v>
      </c>
      <c r="Z17" s="785">
        <f t="shared" si="19"/>
        <v>8019.7</v>
      </c>
      <c r="AA17" s="785">
        <f t="shared" si="20"/>
        <v>8613.93</v>
      </c>
      <c r="AB17" s="785">
        <f t="shared" si="21"/>
        <v>2241.9899999999998</v>
      </c>
      <c r="AC17" s="785">
        <f t="shared" si="22"/>
        <v>943.97999999999956</v>
      </c>
      <c r="AD17" s="785">
        <f t="shared" si="23"/>
        <v>11799.9</v>
      </c>
      <c r="AE17" s="735"/>
      <c r="AF17" s="735"/>
      <c r="AG17" s="735"/>
    </row>
    <row r="18" spans="1:33" s="460" customFormat="1" ht="24" customHeight="1">
      <c r="A18" s="183">
        <v>4</v>
      </c>
      <c r="B18" s="185" t="s">
        <v>128</v>
      </c>
      <c r="C18" s="785">
        <f t="shared" si="9"/>
        <v>794.02</v>
      </c>
      <c r="D18" s="785">
        <f t="shared" si="10"/>
        <v>206.66</v>
      </c>
      <c r="E18" s="785">
        <f t="shared" si="11"/>
        <v>87.022556999999864</v>
      </c>
      <c r="F18" s="785">
        <v>1087.7025569999998</v>
      </c>
      <c r="G18" s="785">
        <f t="shared" si="0"/>
        <v>0</v>
      </c>
      <c r="H18" s="785">
        <f t="shared" si="1"/>
        <v>0</v>
      </c>
      <c r="I18" s="785">
        <f t="shared" si="2"/>
        <v>0</v>
      </c>
      <c r="J18" s="785">
        <v>0</v>
      </c>
      <c r="K18" s="785">
        <f t="shared" si="12"/>
        <v>794.02</v>
      </c>
      <c r="L18" s="785">
        <f t="shared" si="13"/>
        <v>206.66</v>
      </c>
      <c r="M18" s="785">
        <f t="shared" si="14"/>
        <v>87.022556999999864</v>
      </c>
      <c r="N18" s="785">
        <f t="shared" si="15"/>
        <v>1087.7025569999998</v>
      </c>
      <c r="O18" s="785">
        <f t="shared" si="3"/>
        <v>784.81</v>
      </c>
      <c r="P18" s="785">
        <f t="shared" si="4"/>
        <v>204.27</v>
      </c>
      <c r="Q18" s="785">
        <f t="shared" si="5"/>
        <v>86.004516500000108</v>
      </c>
      <c r="R18" s="785">
        <v>1075.0845165000001</v>
      </c>
      <c r="S18" s="785">
        <f t="shared" si="6"/>
        <v>0</v>
      </c>
      <c r="T18" s="785">
        <f t="shared" si="7"/>
        <v>0</v>
      </c>
      <c r="U18" s="785">
        <f t="shared" si="8"/>
        <v>0</v>
      </c>
      <c r="V18" s="785">
        <v>0</v>
      </c>
      <c r="W18" s="785">
        <f t="shared" si="16"/>
        <v>784.81</v>
      </c>
      <c r="X18" s="785">
        <f t="shared" si="17"/>
        <v>204.27</v>
      </c>
      <c r="Y18" s="785">
        <f t="shared" si="18"/>
        <v>86.004516500000108</v>
      </c>
      <c r="Z18" s="785">
        <f>R18+V18</f>
        <v>1075.0845165000001</v>
      </c>
      <c r="AA18" s="785">
        <f t="shared" si="20"/>
        <v>1578.83</v>
      </c>
      <c r="AB18" s="785">
        <f t="shared" si="21"/>
        <v>410.93</v>
      </c>
      <c r="AC18" s="785">
        <f t="shared" si="22"/>
        <v>173.02707349999997</v>
      </c>
      <c r="AD18" s="785">
        <f t="shared" si="23"/>
        <v>2162.7870734999997</v>
      </c>
      <c r="AE18" s="735"/>
      <c r="AF18" s="735"/>
      <c r="AG18" s="735"/>
    </row>
    <row r="19" spans="1:33" s="460" customFormat="1" ht="25.5" customHeight="1">
      <c r="A19" s="183">
        <v>5</v>
      </c>
      <c r="B19" s="184" t="s">
        <v>129</v>
      </c>
      <c r="C19" s="785">
        <f t="shared" si="9"/>
        <v>468.88</v>
      </c>
      <c r="D19" s="785">
        <f t="shared" si="10"/>
        <v>122.04</v>
      </c>
      <c r="E19" s="785">
        <f t="shared" si="11"/>
        <v>51.376310655500063</v>
      </c>
      <c r="F19" s="785">
        <v>642.29631065550006</v>
      </c>
      <c r="G19" s="785">
        <f t="shared" si="0"/>
        <v>0</v>
      </c>
      <c r="H19" s="785">
        <f t="shared" si="1"/>
        <v>0</v>
      </c>
      <c r="I19" s="785">
        <f t="shared" si="2"/>
        <v>0</v>
      </c>
      <c r="J19" s="785">
        <v>0</v>
      </c>
      <c r="K19" s="785">
        <f t="shared" si="12"/>
        <v>468.88</v>
      </c>
      <c r="L19" s="785">
        <f t="shared" si="13"/>
        <v>122.04</v>
      </c>
      <c r="M19" s="785">
        <f t="shared" si="14"/>
        <v>51.376310655500063</v>
      </c>
      <c r="N19" s="785">
        <f t="shared" si="15"/>
        <v>642.29631065550006</v>
      </c>
      <c r="O19" s="785">
        <f t="shared" si="3"/>
        <v>515.44000000000005</v>
      </c>
      <c r="P19" s="785">
        <f t="shared" si="4"/>
        <v>134.16</v>
      </c>
      <c r="Q19" s="785">
        <f t="shared" si="5"/>
        <v>56.485782160400021</v>
      </c>
      <c r="R19" s="785">
        <v>706.08578216040007</v>
      </c>
      <c r="S19" s="785">
        <f t="shared" si="6"/>
        <v>0</v>
      </c>
      <c r="T19" s="785">
        <f t="shared" si="7"/>
        <v>0</v>
      </c>
      <c r="U19" s="785">
        <f t="shared" si="8"/>
        <v>0</v>
      </c>
      <c r="V19" s="785">
        <v>0</v>
      </c>
      <c r="W19" s="785">
        <f t="shared" si="16"/>
        <v>515.44000000000005</v>
      </c>
      <c r="X19" s="785">
        <f t="shared" si="17"/>
        <v>134.16</v>
      </c>
      <c r="Y19" s="785">
        <f t="shared" si="18"/>
        <v>56.485782160400021</v>
      </c>
      <c r="Z19" s="785">
        <f t="shared" si="19"/>
        <v>706.08578216040007</v>
      </c>
      <c r="AA19" s="785">
        <f t="shared" si="20"/>
        <v>984.32</v>
      </c>
      <c r="AB19" s="785">
        <f t="shared" si="21"/>
        <v>256.2</v>
      </c>
      <c r="AC19" s="785">
        <f t="shared" si="22"/>
        <v>107.86209281590008</v>
      </c>
      <c r="AD19" s="785">
        <f t="shared" si="23"/>
        <v>1348.3820928159003</v>
      </c>
      <c r="AE19" s="735"/>
      <c r="AF19" s="735"/>
      <c r="AG19" s="735"/>
    </row>
    <row r="20" spans="1:33" s="460" customFormat="1" ht="25.5" customHeight="1">
      <c r="A20" s="1215" t="s">
        <v>17</v>
      </c>
      <c r="B20" s="1216"/>
      <c r="C20" s="786">
        <f>SUM(C15:C19)</f>
        <v>20195.82</v>
      </c>
      <c r="D20" s="786">
        <f t="shared" ref="D20:AD20" si="24">SUM(D15:D19)</f>
        <v>5256.44</v>
      </c>
      <c r="E20" s="786">
        <f t="shared" si="24"/>
        <v>2213.2411180555018</v>
      </c>
      <c r="F20" s="786">
        <f t="shared" si="24"/>
        <v>27665.501118055501</v>
      </c>
      <c r="G20" s="786">
        <f t="shared" si="24"/>
        <v>11637.86</v>
      </c>
      <c r="H20" s="786">
        <f t="shared" si="24"/>
        <v>3029.04</v>
      </c>
      <c r="I20" s="786">
        <f t="shared" si="24"/>
        <v>1275.3664601999999</v>
      </c>
      <c r="J20" s="786">
        <f t="shared" si="24"/>
        <v>15942.2664602</v>
      </c>
      <c r="K20" s="786">
        <f t="shared" si="24"/>
        <v>31833.68</v>
      </c>
      <c r="L20" s="786">
        <f t="shared" si="24"/>
        <v>8285.48</v>
      </c>
      <c r="M20" s="786">
        <f t="shared" si="24"/>
        <v>3488.6075782555013</v>
      </c>
      <c r="N20" s="786">
        <f t="shared" si="24"/>
        <v>43607.767578255502</v>
      </c>
      <c r="O20" s="786">
        <f t="shared" si="24"/>
        <v>21889.620000000003</v>
      </c>
      <c r="P20" s="786">
        <f t="shared" si="24"/>
        <v>5697.3200000000006</v>
      </c>
      <c r="Q20" s="786">
        <f t="shared" si="24"/>
        <v>2398.8505774603991</v>
      </c>
      <c r="R20" s="786">
        <f t="shared" si="24"/>
        <v>29985.790577460401</v>
      </c>
      <c r="S20" s="786">
        <f t="shared" si="24"/>
        <v>12736.14</v>
      </c>
      <c r="T20" s="786">
        <f t="shared" si="24"/>
        <v>3314.89</v>
      </c>
      <c r="U20" s="786">
        <f t="shared" si="24"/>
        <v>1395.7469532</v>
      </c>
      <c r="V20" s="786">
        <f t="shared" si="24"/>
        <v>17446.776953199998</v>
      </c>
      <c r="W20" s="786">
        <f t="shared" si="24"/>
        <v>34625.760000000002</v>
      </c>
      <c r="X20" s="786">
        <f t="shared" si="24"/>
        <v>9012.2099999999991</v>
      </c>
      <c r="Y20" s="786">
        <f t="shared" si="24"/>
        <v>3794.5975306603991</v>
      </c>
      <c r="Z20" s="786">
        <f t="shared" si="24"/>
        <v>47432.567530660395</v>
      </c>
      <c r="AA20" s="786">
        <f t="shared" si="24"/>
        <v>66459.44</v>
      </c>
      <c r="AB20" s="786">
        <f t="shared" si="24"/>
        <v>17297.689999999999</v>
      </c>
      <c r="AC20" s="786">
        <f t="shared" si="24"/>
        <v>7283.2051089159004</v>
      </c>
      <c r="AD20" s="786">
        <f t="shared" si="24"/>
        <v>91040.335108915897</v>
      </c>
      <c r="AE20" s="735"/>
      <c r="AF20" s="735"/>
      <c r="AG20" s="735"/>
    </row>
    <row r="21" spans="1:33" s="460" customFormat="1" ht="21.75" customHeight="1">
      <c r="A21" s="1213" t="s">
        <v>242</v>
      </c>
      <c r="B21" s="1214"/>
      <c r="C21" s="768"/>
      <c r="D21" s="768"/>
      <c r="E21" s="768"/>
      <c r="F21" s="768"/>
      <c r="G21" s="768"/>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row>
    <row r="22" spans="1:33" s="460" customFormat="1" ht="23.25" customHeight="1">
      <c r="A22" s="183">
        <v>6</v>
      </c>
      <c r="B22" s="184" t="s">
        <v>131</v>
      </c>
      <c r="C22" s="785">
        <f t="shared" ref="C22:C23" si="25">ROUND(F22*0.73,2)</f>
        <v>0</v>
      </c>
      <c r="D22" s="785">
        <f t="shared" ref="D22:D23" si="26">ROUND(F22*0.19,2)</f>
        <v>0</v>
      </c>
      <c r="E22" s="785">
        <f t="shared" ref="E22:E23" si="27">F22-C22-D22</f>
        <v>0</v>
      </c>
      <c r="F22" s="785">
        <f t="shared" ref="F22:G24" si="28">ROUND(I22*0.73,2)</f>
        <v>0</v>
      </c>
      <c r="G22" s="785">
        <f t="shared" ref="G22" si="29">ROUND(J22*0.73,2)</f>
        <v>0</v>
      </c>
      <c r="H22" s="785">
        <f t="shared" ref="H22" si="30">ROUND(K22*0.73,2)</f>
        <v>0</v>
      </c>
      <c r="I22" s="785">
        <f t="shared" ref="I22" si="31">ROUND(L22*0.73,2)</f>
        <v>0</v>
      </c>
      <c r="J22" s="785">
        <f t="shared" ref="J22" si="32">ROUND(M22*0.73,2)</f>
        <v>0</v>
      </c>
      <c r="K22" s="785">
        <f t="shared" ref="K22" si="33">ROUND(N22*0.73,2)</f>
        <v>0</v>
      </c>
      <c r="L22" s="785">
        <f t="shared" ref="L22" si="34">ROUND(O22*0.73,2)</f>
        <v>0</v>
      </c>
      <c r="M22" s="785">
        <f t="shared" ref="M22" si="35">ROUND(P22*0.73,2)</f>
        <v>0</v>
      </c>
      <c r="N22" s="785">
        <f t="shared" ref="N22:N24" si="36">J22+F22</f>
        <v>0</v>
      </c>
      <c r="O22" s="785">
        <v>0</v>
      </c>
      <c r="P22" s="785">
        <v>0</v>
      </c>
      <c r="Q22" s="785">
        <v>0</v>
      </c>
      <c r="R22" s="785">
        <v>0</v>
      </c>
      <c r="S22" s="785">
        <v>0</v>
      </c>
      <c r="T22" s="785">
        <v>0</v>
      </c>
      <c r="U22" s="785">
        <v>0</v>
      </c>
      <c r="V22" s="785">
        <v>0</v>
      </c>
      <c r="W22" s="785">
        <v>0</v>
      </c>
      <c r="X22" s="785">
        <v>0</v>
      </c>
      <c r="Y22" s="785">
        <v>0</v>
      </c>
      <c r="Z22" s="785">
        <v>0</v>
      </c>
      <c r="AA22" s="785">
        <f t="shared" ref="AA22" si="37">ROUND(AD22*0.73,2)</f>
        <v>0</v>
      </c>
      <c r="AB22" s="785">
        <f t="shared" ref="AB22" si="38">ROUND(AE22*0.73,2)</f>
        <v>0</v>
      </c>
      <c r="AC22" s="785">
        <f t="shared" ref="AC22" si="39">ROUND(AF22*0.73,2)</f>
        <v>0</v>
      </c>
      <c r="AD22" s="785"/>
    </row>
    <row r="23" spans="1:33" s="460" customFormat="1" ht="23.25" customHeight="1">
      <c r="A23" s="183">
        <v>7</v>
      </c>
      <c r="B23" s="184" t="s">
        <v>132</v>
      </c>
      <c r="C23" s="785">
        <f t="shared" si="25"/>
        <v>450.26</v>
      </c>
      <c r="D23" s="785">
        <f t="shared" si="26"/>
        <v>117.19</v>
      </c>
      <c r="E23" s="785">
        <f t="shared" si="27"/>
        <v>49.349999999999852</v>
      </c>
      <c r="F23" s="785">
        <v>616.79999999999984</v>
      </c>
      <c r="G23" s="785">
        <f t="shared" si="28"/>
        <v>300.47000000000003</v>
      </c>
      <c r="H23" s="785">
        <f t="shared" ref="H23:H24" si="40">ROUND(J23*0.19,2)</f>
        <v>78.2</v>
      </c>
      <c r="I23" s="785">
        <f t="shared" ref="I23:I24" si="41">J23-G23-H23</f>
        <v>32.930000000000106</v>
      </c>
      <c r="J23" s="785">
        <v>411.60000000000014</v>
      </c>
      <c r="K23" s="785">
        <f>C23+G23</f>
        <v>750.73</v>
      </c>
      <c r="L23" s="785">
        <f t="shared" ref="L23:M23" si="42">D23+H23</f>
        <v>195.39</v>
      </c>
      <c r="M23" s="785">
        <f t="shared" si="42"/>
        <v>82.279999999999959</v>
      </c>
      <c r="N23" s="785">
        <f t="shared" si="36"/>
        <v>1028.4000000000001</v>
      </c>
      <c r="O23" s="785">
        <v>0</v>
      </c>
      <c r="P23" s="785">
        <v>0</v>
      </c>
      <c r="Q23" s="785">
        <v>0</v>
      </c>
      <c r="R23" s="785">
        <v>0</v>
      </c>
      <c r="S23" s="785">
        <v>0</v>
      </c>
      <c r="T23" s="785">
        <v>0</v>
      </c>
      <c r="U23" s="785">
        <v>0</v>
      </c>
      <c r="V23" s="785">
        <v>0</v>
      </c>
      <c r="W23" s="785">
        <v>0</v>
      </c>
      <c r="X23" s="785">
        <v>0</v>
      </c>
      <c r="Y23" s="785">
        <v>0</v>
      </c>
      <c r="Z23" s="785">
        <v>0</v>
      </c>
      <c r="AA23" s="785">
        <f>C23+G23</f>
        <v>750.73</v>
      </c>
      <c r="AB23" s="785">
        <f>D23+H23</f>
        <v>195.39</v>
      </c>
      <c r="AC23" s="785">
        <f>E23+I23</f>
        <v>82.279999999999959</v>
      </c>
      <c r="AD23" s="785">
        <f>N23</f>
        <v>1028.4000000000001</v>
      </c>
    </row>
    <row r="24" spans="1:33" s="460" customFormat="1" ht="20.25" customHeight="1">
      <c r="A24" s="183">
        <v>8</v>
      </c>
      <c r="B24" s="184" t="s">
        <v>707</v>
      </c>
      <c r="C24" s="785">
        <f t="shared" ref="C24" si="43">ROUND(F24*0.73,2)</f>
        <v>352.63</v>
      </c>
      <c r="D24" s="785">
        <f t="shared" ref="D24" si="44">ROUND(F24*0.19,2)</f>
        <v>91.78</v>
      </c>
      <c r="E24" s="785">
        <f t="shared" ref="E24" si="45">F24-C24-D24</f>
        <v>38.649999999999949</v>
      </c>
      <c r="F24" s="785">
        <f>'AT-28B_Kitchen repair'!E45</f>
        <v>483.05999999999995</v>
      </c>
      <c r="G24" s="785">
        <f t="shared" si="28"/>
        <v>235.09</v>
      </c>
      <c r="H24" s="785">
        <f t="shared" si="40"/>
        <v>61.19</v>
      </c>
      <c r="I24" s="785">
        <f t="shared" si="41"/>
        <v>25.759999999999962</v>
      </c>
      <c r="J24" s="785">
        <f>'AT-28B_Kitchen repair'!F45</f>
        <v>322.03999999999996</v>
      </c>
      <c r="K24" s="785">
        <f t="shared" ref="K24" si="46">ROUND(N24*0.73,2)</f>
        <v>587.72</v>
      </c>
      <c r="L24" s="785">
        <f t="shared" ref="L24" si="47">ROUND(N24*0.19,2)</f>
        <v>152.97</v>
      </c>
      <c r="M24" s="785">
        <f t="shared" ref="M24" si="48">N24-K24-L24</f>
        <v>64.409999999999883</v>
      </c>
      <c r="N24" s="785">
        <f t="shared" si="36"/>
        <v>805.09999999999991</v>
      </c>
      <c r="O24" s="785">
        <v>0</v>
      </c>
      <c r="P24" s="785">
        <v>0</v>
      </c>
      <c r="Q24" s="785">
        <v>0</v>
      </c>
      <c r="R24" s="785">
        <v>0</v>
      </c>
      <c r="S24" s="785">
        <v>0</v>
      </c>
      <c r="T24" s="785">
        <v>0</v>
      </c>
      <c r="U24" s="785">
        <v>0</v>
      </c>
      <c r="V24" s="785">
        <v>0</v>
      </c>
      <c r="W24" s="785">
        <v>0</v>
      </c>
      <c r="X24" s="785">
        <v>0</v>
      </c>
      <c r="Y24" s="785">
        <v>0</v>
      </c>
      <c r="Z24" s="785">
        <v>0</v>
      </c>
      <c r="AA24" s="785">
        <f t="shared" ref="AA24" si="49">ROUND(AD24*0.73,2)</f>
        <v>587.72</v>
      </c>
      <c r="AB24" s="785">
        <f t="shared" ref="AB24" si="50">ROUND(AD24*0.19,2)</f>
        <v>152.97</v>
      </c>
      <c r="AC24" s="785">
        <f t="shared" ref="AC24" si="51">AD24-AA24-AB24</f>
        <v>64.409999999999883</v>
      </c>
      <c r="AD24" s="785">
        <f>N24</f>
        <v>805.09999999999991</v>
      </c>
    </row>
    <row r="25" spans="1:33" s="460" customFormat="1" ht="15" customHeight="1">
      <c r="A25" s="183"/>
      <c r="B25" s="184"/>
      <c r="C25" s="786">
        <f>SUM(C23:C24)</f>
        <v>802.89</v>
      </c>
      <c r="D25" s="786">
        <f t="shared" ref="D25:AD25" si="52">SUM(D23:D24)</f>
        <v>208.97</v>
      </c>
      <c r="E25" s="786">
        <f t="shared" si="52"/>
        <v>87.999999999999801</v>
      </c>
      <c r="F25" s="786">
        <f t="shared" si="52"/>
        <v>1099.8599999999997</v>
      </c>
      <c r="G25" s="786">
        <f t="shared" si="52"/>
        <v>535.56000000000006</v>
      </c>
      <c r="H25" s="786">
        <f t="shared" si="52"/>
        <v>139.38999999999999</v>
      </c>
      <c r="I25" s="786">
        <f t="shared" si="52"/>
        <v>58.690000000000069</v>
      </c>
      <c r="J25" s="786">
        <f t="shared" si="52"/>
        <v>733.6400000000001</v>
      </c>
      <c r="K25" s="786">
        <f t="shared" si="52"/>
        <v>1338.45</v>
      </c>
      <c r="L25" s="786">
        <f t="shared" si="52"/>
        <v>348.36</v>
      </c>
      <c r="M25" s="786">
        <f t="shared" si="52"/>
        <v>146.68999999999983</v>
      </c>
      <c r="N25" s="786">
        <f t="shared" si="52"/>
        <v>1833.5</v>
      </c>
      <c r="O25" s="786">
        <f t="shared" si="52"/>
        <v>0</v>
      </c>
      <c r="P25" s="786">
        <f t="shared" si="52"/>
        <v>0</v>
      </c>
      <c r="Q25" s="786">
        <f t="shared" si="52"/>
        <v>0</v>
      </c>
      <c r="R25" s="786">
        <f t="shared" si="52"/>
        <v>0</v>
      </c>
      <c r="S25" s="786">
        <f t="shared" si="52"/>
        <v>0</v>
      </c>
      <c r="T25" s="786">
        <f t="shared" si="52"/>
        <v>0</v>
      </c>
      <c r="U25" s="786">
        <f t="shared" si="52"/>
        <v>0</v>
      </c>
      <c r="V25" s="786">
        <f t="shared" si="52"/>
        <v>0</v>
      </c>
      <c r="W25" s="786">
        <f t="shared" si="52"/>
        <v>0</v>
      </c>
      <c r="X25" s="786">
        <f t="shared" si="52"/>
        <v>0</v>
      </c>
      <c r="Y25" s="786">
        <f t="shared" si="52"/>
        <v>0</v>
      </c>
      <c r="Z25" s="786">
        <f t="shared" si="52"/>
        <v>0</v>
      </c>
      <c r="AA25" s="786">
        <f t="shared" si="52"/>
        <v>1338.45</v>
      </c>
      <c r="AB25" s="786">
        <f t="shared" si="52"/>
        <v>348.36</v>
      </c>
      <c r="AC25" s="786">
        <f t="shared" si="52"/>
        <v>146.68999999999983</v>
      </c>
      <c r="AD25" s="786">
        <f t="shared" si="52"/>
        <v>1833.5</v>
      </c>
    </row>
    <row r="26" spans="1:33" s="460" customFormat="1" ht="15" customHeight="1">
      <c r="A26" s="736"/>
      <c r="B26" s="737"/>
      <c r="C26" s="785"/>
      <c r="D26" s="785"/>
      <c r="E26" s="785"/>
      <c r="F26" s="785"/>
      <c r="G26" s="785"/>
      <c r="H26" s="785"/>
      <c r="I26" s="785"/>
      <c r="J26" s="785"/>
      <c r="K26" s="785"/>
      <c r="L26" s="785"/>
      <c r="M26" s="785"/>
      <c r="N26" s="785"/>
      <c r="O26" s="785"/>
      <c r="P26" s="785"/>
      <c r="Q26" s="785"/>
      <c r="R26" s="785"/>
      <c r="S26" s="785"/>
      <c r="T26" s="785"/>
      <c r="U26" s="785"/>
      <c r="V26" s="785"/>
      <c r="W26" s="785"/>
      <c r="X26" s="785"/>
      <c r="Y26" s="785"/>
      <c r="Z26" s="785"/>
      <c r="AA26" s="785"/>
      <c r="AB26" s="785"/>
      <c r="AC26" s="785"/>
      <c r="AD26" s="785"/>
    </row>
    <row r="27" spans="1:33" s="460" customFormat="1" ht="15" customHeight="1">
      <c r="A27" s="736">
        <v>9</v>
      </c>
      <c r="B27" s="737" t="s">
        <v>1175</v>
      </c>
      <c r="C27" s="786">
        <f t="shared" ref="C27" si="53">ROUND(F27*0.73,2)</f>
        <v>1049.94</v>
      </c>
      <c r="D27" s="786">
        <f t="shared" ref="D27" si="54">ROUND(F27*0.19,2)</f>
        <v>273.27</v>
      </c>
      <c r="E27" s="786">
        <f t="shared" ref="E27" si="55">F27-C27-D27</f>
        <v>115.0580559027751</v>
      </c>
      <c r="F27" s="786">
        <f>(F25+F20)*5%</f>
        <v>1438.2680559027751</v>
      </c>
      <c r="G27" s="786">
        <f t="shared" ref="G27" si="56">ROUND(J27*0.73,2)</f>
        <v>608.66999999999996</v>
      </c>
      <c r="H27" s="786">
        <f t="shared" ref="H27" si="57">ROUND(J27*0.19,2)</f>
        <v>158.41999999999999</v>
      </c>
      <c r="I27" s="786">
        <f t="shared" ref="I27" si="58">J27-G27-H27</f>
        <v>66.705323010000114</v>
      </c>
      <c r="J27" s="786">
        <f>(J25+J20)*5%</f>
        <v>833.79532301000006</v>
      </c>
      <c r="K27" s="786">
        <f t="shared" ref="K27" si="59">ROUND(N27*0.73,2)</f>
        <v>1658.61</v>
      </c>
      <c r="L27" s="786">
        <f t="shared" ref="L27" si="60">ROUND(N27*0.19,2)</f>
        <v>431.69</v>
      </c>
      <c r="M27" s="786">
        <f t="shared" ref="M27" si="61">N27-K27-L27</f>
        <v>181.76337891277518</v>
      </c>
      <c r="N27" s="786">
        <f>(N25+N20)*5%</f>
        <v>2272.0633789127751</v>
      </c>
      <c r="O27" s="786">
        <f t="shared" ref="O27" si="62">ROUND(R27*0.73,2)</f>
        <v>1094.48</v>
      </c>
      <c r="P27" s="786">
        <f t="shared" ref="P27" si="63">ROUND(R27*0.19,2)</f>
        <v>284.87</v>
      </c>
      <c r="Q27" s="786">
        <f t="shared" ref="Q27" si="64">R27-O27-P27</f>
        <v>119.93952887302009</v>
      </c>
      <c r="R27" s="786">
        <f>(R25+R20)*5%</f>
        <v>1499.2895288730201</v>
      </c>
      <c r="S27" s="786">
        <f t="shared" ref="S27" si="65">ROUND(V27*0.73,2)</f>
        <v>636.80999999999995</v>
      </c>
      <c r="T27" s="786">
        <f t="shared" ref="T27" si="66">ROUND(V27*0.19,2)</f>
        <v>165.74</v>
      </c>
      <c r="U27" s="786">
        <f t="shared" ref="U27" si="67">V27-S27-T27</f>
        <v>69.788847659999988</v>
      </c>
      <c r="V27" s="786">
        <f>(V25+V20)*5%</f>
        <v>872.33884765999994</v>
      </c>
      <c r="W27" s="786">
        <f t="shared" ref="W27" si="68">ROUND(Z27*0.73,2)</f>
        <v>1731.29</v>
      </c>
      <c r="X27" s="786">
        <f t="shared" ref="X27" si="69">ROUND(Z27*0.19,2)</f>
        <v>450.61</v>
      </c>
      <c r="Y27" s="786">
        <f t="shared" ref="Y27" si="70">Z27-W27-X27</f>
        <v>189.72837653301997</v>
      </c>
      <c r="Z27" s="786">
        <f>(Z25+Z20)*5%</f>
        <v>2371.6283765330199</v>
      </c>
      <c r="AA27" s="786">
        <f t="shared" ref="AA27" si="71">ROUND(AD27*0.73,2)</f>
        <v>3389.89</v>
      </c>
      <c r="AB27" s="786">
        <f t="shared" ref="AB27" si="72">ROUND(AD27*0.19,2)</f>
        <v>882.3</v>
      </c>
      <c r="AC27" s="786">
        <f t="shared" ref="AC27" si="73">AD27-AA27-AB27</f>
        <v>371.5017554457952</v>
      </c>
      <c r="AD27" s="786">
        <f>Z27+N27</f>
        <v>4643.691755445795</v>
      </c>
    </row>
    <row r="28" spans="1:33" s="460" customFormat="1" ht="15" customHeight="1">
      <c r="A28" s="1207"/>
      <c r="B28" s="1208"/>
      <c r="C28" s="785"/>
      <c r="D28" s="785"/>
      <c r="E28" s="785"/>
      <c r="F28" s="785"/>
      <c r="G28" s="785"/>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row>
    <row r="29" spans="1:33" s="460" customFormat="1" ht="22.5" customHeight="1">
      <c r="A29" s="1207" t="s">
        <v>17</v>
      </c>
      <c r="B29" s="1208"/>
      <c r="C29" s="786">
        <f>C27+C25+C20</f>
        <v>22048.65</v>
      </c>
      <c r="D29" s="786">
        <f t="shared" ref="D29:AD29" si="74">D27+D25+D20</f>
        <v>5738.6799999999994</v>
      </c>
      <c r="E29" s="786">
        <f t="shared" si="74"/>
        <v>2416.2991739582767</v>
      </c>
      <c r="F29" s="786">
        <f t="shared" si="74"/>
        <v>30203.629173958274</v>
      </c>
      <c r="G29" s="786">
        <f t="shared" si="74"/>
        <v>12782.09</v>
      </c>
      <c r="H29" s="786">
        <f t="shared" si="74"/>
        <v>3326.85</v>
      </c>
      <c r="I29" s="786">
        <f t="shared" si="74"/>
        <v>1400.76178321</v>
      </c>
      <c r="J29" s="786">
        <f t="shared" si="74"/>
        <v>17509.701783209999</v>
      </c>
      <c r="K29" s="786">
        <f t="shared" si="74"/>
        <v>34830.74</v>
      </c>
      <c r="L29" s="786">
        <f t="shared" si="74"/>
        <v>9065.5299999999988</v>
      </c>
      <c r="M29" s="786">
        <f t="shared" si="74"/>
        <v>3817.0609571682762</v>
      </c>
      <c r="N29" s="786">
        <f t="shared" si="74"/>
        <v>47713.330957168277</v>
      </c>
      <c r="O29" s="786">
        <f t="shared" si="74"/>
        <v>22984.100000000002</v>
      </c>
      <c r="P29" s="786">
        <f t="shared" si="74"/>
        <v>5982.1900000000005</v>
      </c>
      <c r="Q29" s="786">
        <f t="shared" si="74"/>
        <v>2518.7901063334193</v>
      </c>
      <c r="R29" s="786">
        <f t="shared" si="74"/>
        <v>31485.080106333422</v>
      </c>
      <c r="S29" s="786">
        <f t="shared" si="74"/>
        <v>13372.949999999999</v>
      </c>
      <c r="T29" s="786">
        <f t="shared" si="74"/>
        <v>3480.63</v>
      </c>
      <c r="U29" s="786">
        <f t="shared" si="74"/>
        <v>1465.5358008600001</v>
      </c>
      <c r="V29" s="786">
        <f t="shared" si="74"/>
        <v>18319.11580086</v>
      </c>
      <c r="W29" s="786">
        <f t="shared" si="74"/>
        <v>36357.050000000003</v>
      </c>
      <c r="X29" s="786">
        <f t="shared" si="74"/>
        <v>9462.82</v>
      </c>
      <c r="Y29" s="786">
        <f t="shared" si="74"/>
        <v>3984.325907193419</v>
      </c>
      <c r="Z29" s="786">
        <f t="shared" si="74"/>
        <v>49804.195907193418</v>
      </c>
      <c r="AA29" s="786">
        <f t="shared" si="74"/>
        <v>71187.78</v>
      </c>
      <c r="AB29" s="786">
        <f t="shared" si="74"/>
        <v>18528.349999999999</v>
      </c>
      <c r="AC29" s="786">
        <f t="shared" si="74"/>
        <v>7801.3968643616954</v>
      </c>
      <c r="AD29" s="786">
        <f t="shared" si="74"/>
        <v>97517.526864361687</v>
      </c>
    </row>
    <row r="30" spans="1:33">
      <c r="A30" s="186"/>
      <c r="B30" s="186"/>
    </row>
    <row r="31" spans="1:33">
      <c r="F31" s="769"/>
    </row>
    <row r="32" spans="1:33">
      <c r="B32" s="169" t="s">
        <v>10</v>
      </c>
      <c r="F32" s="769"/>
      <c r="I32" s="769"/>
      <c r="R32" s="769"/>
      <c r="AA32" s="769"/>
    </row>
    <row r="33" spans="1:26" ht="15.75" customHeight="1">
      <c r="A33" s="455"/>
      <c r="B33" s="13"/>
      <c r="C33" s="13"/>
      <c r="D33" s="13"/>
      <c r="E33" s="13"/>
      <c r="F33" s="13"/>
      <c r="G33" s="46"/>
      <c r="H33" s="46"/>
      <c r="I33" s="788"/>
      <c r="J33" s="46"/>
      <c r="O33" s="46"/>
      <c r="R33" s="769"/>
      <c r="S33" s="769"/>
      <c r="T33" s="769"/>
      <c r="V33" s="804" t="s">
        <v>12</v>
      </c>
      <c r="W33" s="804"/>
      <c r="X33" s="804"/>
      <c r="Y33" s="804"/>
      <c r="Z33" s="804"/>
    </row>
    <row r="34" spans="1:26" ht="15.75" customHeight="1">
      <c r="E34" s="803" t="s">
        <v>906</v>
      </c>
      <c r="F34" s="803"/>
      <c r="G34" s="803"/>
      <c r="H34" s="803"/>
      <c r="I34" s="788"/>
      <c r="J34" s="46"/>
      <c r="O34" s="46"/>
      <c r="V34" s="804" t="s">
        <v>13</v>
      </c>
      <c r="W34" s="804"/>
      <c r="X34" s="804"/>
      <c r="Y34" s="804"/>
      <c r="Z34" s="804"/>
    </row>
    <row r="35" spans="1:26" ht="15.75" customHeight="1">
      <c r="E35" s="804" t="s">
        <v>907</v>
      </c>
      <c r="F35" s="804"/>
      <c r="G35" s="804"/>
      <c r="H35" s="804"/>
      <c r="I35" s="46"/>
      <c r="J35" s="46"/>
      <c r="V35" s="804" t="s">
        <v>18</v>
      </c>
      <c r="W35" s="804"/>
      <c r="X35" s="804"/>
      <c r="Y35" s="804"/>
      <c r="Z35" s="804"/>
    </row>
    <row r="36" spans="1:26" ht="15.75" customHeight="1">
      <c r="E36" s="804" t="s">
        <v>908</v>
      </c>
      <c r="F36" s="804"/>
      <c r="G36" s="804"/>
      <c r="H36" s="804"/>
      <c r="I36" s="46"/>
      <c r="J36" s="46"/>
      <c r="O36" s="46"/>
      <c r="V36" s="455"/>
      <c r="W36" s="694"/>
      <c r="X36" s="850" t="s">
        <v>84</v>
      </c>
      <c r="Y36" s="850"/>
      <c r="Z36" s="850"/>
    </row>
    <row r="37" spans="1:26" ht="15.75" customHeight="1">
      <c r="A37" s="454"/>
      <c r="B37" s="454"/>
      <c r="C37" s="454"/>
      <c r="D37" s="454"/>
      <c r="E37" s="454"/>
      <c r="F37" s="693"/>
      <c r="G37" s="455"/>
      <c r="H37" s="455"/>
      <c r="I37" s="455"/>
      <c r="J37" s="694"/>
      <c r="O37" s="46"/>
      <c r="U37" s="46"/>
      <c r="V37" s="46"/>
      <c r="W37" s="46"/>
      <c r="X37" s="46"/>
    </row>
    <row r="38" spans="1:26" ht="15.75" customHeight="1">
      <c r="A38" s="13" t="s">
        <v>11</v>
      </c>
      <c r="B38" s="455"/>
      <c r="C38" s="455"/>
      <c r="D38" s="455"/>
      <c r="E38" s="455"/>
      <c r="F38" s="694"/>
      <c r="G38" s="278"/>
      <c r="H38" s="268"/>
      <c r="I38" s="455"/>
      <c r="J38" s="694"/>
      <c r="K38" s="46"/>
      <c r="L38" s="46"/>
      <c r="M38" s="46"/>
      <c r="N38" s="46"/>
      <c r="O38" s="46"/>
    </row>
  </sheetData>
  <mergeCells count="28">
    <mergeCell ref="E36:H36"/>
    <mergeCell ref="X36:Z36"/>
    <mergeCell ref="S1:AA1"/>
    <mergeCell ref="B4:AA4"/>
    <mergeCell ref="B6:AA6"/>
    <mergeCell ref="A8:B8"/>
    <mergeCell ref="C11:E11"/>
    <mergeCell ref="G11:I11"/>
    <mergeCell ref="K11:M11"/>
    <mergeCell ref="A29:B29"/>
    <mergeCell ref="A21:B21"/>
    <mergeCell ref="A14:B14"/>
    <mergeCell ref="A20:B20"/>
    <mergeCell ref="E34:H34"/>
    <mergeCell ref="E35:H35"/>
    <mergeCell ref="V33:Z33"/>
    <mergeCell ref="V34:Z34"/>
    <mergeCell ref="V35:Z35"/>
    <mergeCell ref="AB9:AC9"/>
    <mergeCell ref="A10:A11"/>
    <mergeCell ref="B10:B11"/>
    <mergeCell ref="C10:M10"/>
    <mergeCell ref="AA10:AD11"/>
    <mergeCell ref="O10:Z10"/>
    <mergeCell ref="W11:Z11"/>
    <mergeCell ref="S11:V11"/>
    <mergeCell ref="O11:R11"/>
    <mergeCell ref="A28:B28"/>
  </mergeCells>
  <printOptions horizontalCentered="1"/>
  <pageMargins left="0.70866141732283472" right="0.70866141732283472" top="0.23622047244094491" bottom="0" header="0.31496062992125984" footer="0.31496062992125984"/>
  <pageSetup paperSize="9" scale="42" orientation="landscape" r:id="rId1"/>
  <colBreaks count="1" manualBreakCount="1">
    <brk id="29" max="1048575" man="1"/>
  </colBreaks>
</worksheet>
</file>

<file path=xl/worksheets/sheet71.xml><?xml version="1.0" encoding="utf-8"?>
<worksheet xmlns="http://schemas.openxmlformats.org/spreadsheetml/2006/main" xmlns:r="http://schemas.openxmlformats.org/officeDocument/2006/relationships">
  <sheetPr codeName="Sheet71">
    <pageSetUpPr fitToPage="1"/>
  </sheetPr>
  <dimension ref="A1:P59"/>
  <sheetViews>
    <sheetView view="pageBreakPreview" topLeftCell="A25" zoomScale="115" zoomScaleSheetLayoutView="115" workbookViewId="0">
      <selection activeCell="C33" sqref="C33:L33"/>
    </sheetView>
  </sheetViews>
  <sheetFormatPr defaultRowHeight="12.75"/>
  <cols>
    <col min="1" max="1" width="7.42578125" style="162" customWidth="1"/>
    <col min="2" max="2" width="17.85546875" style="162" customWidth="1"/>
    <col min="3" max="3" width="11" style="162" customWidth="1"/>
    <col min="4" max="4" width="10" style="162" customWidth="1"/>
    <col min="5" max="5" width="11.85546875" style="162" customWidth="1"/>
    <col min="6" max="6" width="12.140625" style="162" customWidth="1"/>
    <col min="7" max="7" width="13.28515625" style="162" customWidth="1"/>
    <col min="8" max="8" width="14.5703125" style="162" customWidth="1"/>
    <col min="9" max="9" width="12.7109375" style="162" customWidth="1"/>
    <col min="10" max="10" width="14" style="162" customWidth="1"/>
    <col min="11" max="11" width="10.85546875" style="162" customWidth="1"/>
    <col min="12" max="12" width="11.5703125" style="162" customWidth="1"/>
    <col min="13" max="16384" width="9.140625" style="162"/>
  </cols>
  <sheetData>
    <row r="1" spans="1:16" s="86" customFormat="1">
      <c r="E1" s="1217"/>
      <c r="F1" s="1217"/>
      <c r="G1" s="1217"/>
      <c r="H1" s="1217"/>
      <c r="I1" s="1217"/>
      <c r="J1" s="308" t="s">
        <v>673</v>
      </c>
    </row>
    <row r="2" spans="1:16" s="86" customFormat="1" ht="15">
      <c r="A2" s="1218" t="s">
        <v>0</v>
      </c>
      <c r="B2" s="1218"/>
      <c r="C2" s="1218"/>
      <c r="D2" s="1218"/>
      <c r="E2" s="1218"/>
      <c r="F2" s="1218"/>
      <c r="G2" s="1218"/>
      <c r="H2" s="1218"/>
      <c r="I2" s="1218"/>
      <c r="J2" s="1218"/>
    </row>
    <row r="3" spans="1:16" s="86" customFormat="1" ht="20.25">
      <c r="A3" s="881" t="s">
        <v>745</v>
      </c>
      <c r="B3" s="881"/>
      <c r="C3" s="881"/>
      <c r="D3" s="881"/>
      <c r="E3" s="881"/>
      <c r="F3" s="881"/>
      <c r="G3" s="881"/>
      <c r="H3" s="881"/>
      <c r="I3" s="881"/>
      <c r="J3" s="881"/>
    </row>
    <row r="4" spans="1:16" s="86" customFormat="1" ht="14.25" customHeight="1"/>
    <row r="5" spans="1:16" ht="19.5" customHeight="1">
      <c r="A5" s="1219" t="s">
        <v>823</v>
      </c>
      <c r="B5" s="1219"/>
      <c r="C5" s="1219"/>
      <c r="D5" s="1219"/>
      <c r="E5" s="1219"/>
      <c r="F5" s="1219"/>
      <c r="G5" s="1219"/>
      <c r="H5" s="1219"/>
      <c r="I5" s="1219"/>
      <c r="J5" s="1219"/>
      <c r="K5" s="1219"/>
      <c r="L5" s="1219"/>
    </row>
    <row r="6" spans="1:16" ht="13.5" customHeight="1">
      <c r="A6" s="309"/>
      <c r="B6" s="309"/>
      <c r="C6" s="309"/>
      <c r="D6" s="309"/>
      <c r="E6" s="309"/>
      <c r="F6" s="309"/>
      <c r="G6" s="309"/>
      <c r="H6" s="309"/>
      <c r="I6" s="309"/>
      <c r="J6" s="309"/>
    </row>
    <row r="7" spans="1:16" ht="0.75" customHeight="1"/>
    <row r="8" spans="1:16">
      <c r="A8" s="1156" t="s">
        <v>960</v>
      </c>
      <c r="B8" s="1156"/>
      <c r="C8" s="310"/>
      <c r="H8" s="902"/>
      <c r="I8" s="902"/>
      <c r="J8" s="902"/>
      <c r="K8" s="902"/>
      <c r="L8" s="902"/>
    </row>
    <row r="9" spans="1:16" ht="18" customHeight="1">
      <c r="A9" s="1041" t="s">
        <v>2</v>
      </c>
      <c r="B9" s="1041" t="s">
        <v>37</v>
      </c>
      <c r="C9" s="1221" t="s">
        <v>674</v>
      </c>
      <c r="D9" s="1221"/>
      <c r="E9" s="1221" t="s">
        <v>127</v>
      </c>
      <c r="F9" s="1221"/>
      <c r="G9" s="1221" t="s">
        <v>675</v>
      </c>
      <c r="H9" s="1221"/>
      <c r="I9" s="1221" t="s">
        <v>128</v>
      </c>
      <c r="J9" s="1221"/>
      <c r="K9" s="1221" t="s">
        <v>129</v>
      </c>
      <c r="L9" s="1221"/>
      <c r="O9" s="311"/>
      <c r="P9" s="312"/>
    </row>
    <row r="10" spans="1:16" ht="44.25" customHeight="1">
      <c r="A10" s="1041"/>
      <c r="B10" s="1041"/>
      <c r="C10" s="91" t="s">
        <v>676</v>
      </c>
      <c r="D10" s="91" t="s">
        <v>677</v>
      </c>
      <c r="E10" s="91" t="s">
        <v>678</v>
      </c>
      <c r="F10" s="91" t="s">
        <v>679</v>
      </c>
      <c r="G10" s="91" t="s">
        <v>678</v>
      </c>
      <c r="H10" s="91" t="s">
        <v>679</v>
      </c>
      <c r="I10" s="91" t="s">
        <v>676</v>
      </c>
      <c r="J10" s="91" t="s">
        <v>677</v>
      </c>
      <c r="K10" s="91" t="s">
        <v>676</v>
      </c>
      <c r="L10" s="91" t="s">
        <v>677</v>
      </c>
    </row>
    <row r="11" spans="1:16">
      <c r="A11" s="91">
        <v>1</v>
      </c>
      <c r="B11" s="91">
        <v>2</v>
      </c>
      <c r="C11" s="91">
        <v>3</v>
      </c>
      <c r="D11" s="91">
        <v>4</v>
      </c>
      <c r="E11" s="91">
        <v>5</v>
      </c>
      <c r="F11" s="91">
        <v>6</v>
      </c>
      <c r="G11" s="91">
        <v>7</v>
      </c>
      <c r="H11" s="91">
        <v>8</v>
      </c>
      <c r="I11" s="91">
        <v>9</v>
      </c>
      <c r="J11" s="91">
        <v>10</v>
      </c>
      <c r="K11" s="91">
        <v>11</v>
      </c>
      <c r="L11" s="91">
        <v>12</v>
      </c>
    </row>
    <row r="12" spans="1:16">
      <c r="A12" s="313">
        <v>1</v>
      </c>
      <c r="B12" s="311" t="s">
        <v>912</v>
      </c>
      <c r="C12" s="447">
        <v>211.47399999999999</v>
      </c>
      <c r="D12" s="449">
        <v>29.49</v>
      </c>
      <c r="E12" s="449">
        <v>94.82</v>
      </c>
      <c r="F12" s="449">
        <v>13.62</v>
      </c>
      <c r="G12" s="449">
        <v>92.77000000000001</v>
      </c>
      <c r="H12" s="449">
        <v>4.5199999999999996</v>
      </c>
      <c r="I12" s="449">
        <v>3.17</v>
      </c>
      <c r="J12" s="449">
        <v>0.46</v>
      </c>
      <c r="K12" s="449">
        <v>2.36</v>
      </c>
      <c r="L12" s="449">
        <v>0.38</v>
      </c>
    </row>
    <row r="13" spans="1:16">
      <c r="A13" s="313">
        <v>2</v>
      </c>
      <c r="B13" s="311" t="s">
        <v>913</v>
      </c>
      <c r="C13" s="447">
        <v>316.70499999999998</v>
      </c>
      <c r="D13" s="449">
        <v>58.58</v>
      </c>
      <c r="E13" s="449">
        <v>141.97999999999999</v>
      </c>
      <c r="F13" s="449">
        <v>27.05</v>
      </c>
      <c r="G13" s="449">
        <v>136.09</v>
      </c>
      <c r="H13" s="449">
        <v>6.7699999999999987</v>
      </c>
      <c r="I13" s="449">
        <v>4.75</v>
      </c>
      <c r="J13" s="449">
        <v>0.91</v>
      </c>
      <c r="K13" s="449">
        <v>3.51</v>
      </c>
      <c r="L13" s="449">
        <v>0.75</v>
      </c>
    </row>
    <row r="14" spans="1:16">
      <c r="A14" s="313">
        <v>3</v>
      </c>
      <c r="B14" s="311" t="s">
        <v>914</v>
      </c>
      <c r="C14" s="447">
        <v>296.39</v>
      </c>
      <c r="D14" s="449">
        <v>103.29</v>
      </c>
      <c r="E14" s="449">
        <v>132.88</v>
      </c>
      <c r="F14" s="449">
        <v>47.7</v>
      </c>
      <c r="G14" s="449">
        <v>239.35</v>
      </c>
      <c r="H14" s="449">
        <v>150.44</v>
      </c>
      <c r="I14" s="449">
        <v>4.45</v>
      </c>
      <c r="J14" s="449">
        <v>1.61</v>
      </c>
      <c r="K14" s="449">
        <v>3.96</v>
      </c>
      <c r="L14" s="449">
        <v>1.32</v>
      </c>
    </row>
    <row r="15" spans="1:16">
      <c r="A15" s="313">
        <v>4</v>
      </c>
      <c r="B15" s="311" t="s">
        <v>915</v>
      </c>
      <c r="C15" s="447">
        <v>251.45400000000001</v>
      </c>
      <c r="D15" s="449">
        <v>73.92</v>
      </c>
      <c r="E15" s="449">
        <v>112.73</v>
      </c>
      <c r="F15" s="449">
        <v>34.14</v>
      </c>
      <c r="G15" s="449">
        <v>183.82999999999998</v>
      </c>
      <c r="H15" s="449">
        <v>60.64</v>
      </c>
      <c r="I15" s="449">
        <v>3.77</v>
      </c>
      <c r="J15" s="449">
        <v>1.1499999999999999</v>
      </c>
      <c r="K15" s="449">
        <v>3.25</v>
      </c>
      <c r="L15" s="449">
        <v>0.94</v>
      </c>
    </row>
    <row r="16" spans="1:16" s="425" customFormat="1">
      <c r="A16" s="313">
        <v>5</v>
      </c>
      <c r="B16" s="311" t="s">
        <v>916</v>
      </c>
      <c r="C16" s="447">
        <v>199.3</v>
      </c>
      <c r="D16" s="449">
        <v>20.92</v>
      </c>
      <c r="E16" s="449">
        <v>89.35</v>
      </c>
      <c r="F16" s="449">
        <v>9.66</v>
      </c>
      <c r="G16" s="449">
        <v>154.80000000000001</v>
      </c>
      <c r="H16" s="449">
        <v>38.68</v>
      </c>
      <c r="I16" s="449">
        <v>2.99</v>
      </c>
      <c r="J16" s="449">
        <v>0.33</v>
      </c>
      <c r="K16" s="449">
        <v>2.62</v>
      </c>
      <c r="L16" s="449">
        <v>0.27</v>
      </c>
    </row>
    <row r="17" spans="1:12" s="425" customFormat="1">
      <c r="A17" s="313">
        <v>6</v>
      </c>
      <c r="B17" s="311" t="s">
        <v>917</v>
      </c>
      <c r="C17" s="447">
        <v>108.64400000000001</v>
      </c>
      <c r="D17" s="449">
        <v>42.39</v>
      </c>
      <c r="E17" s="449">
        <v>48.72</v>
      </c>
      <c r="F17" s="449">
        <v>19.579999999999998</v>
      </c>
      <c r="G17" s="449">
        <v>111.29</v>
      </c>
      <c r="H17" s="449">
        <v>62.300000000000004</v>
      </c>
      <c r="I17" s="449">
        <v>1.63</v>
      </c>
      <c r="J17" s="449">
        <v>0.66</v>
      </c>
      <c r="K17" s="449">
        <v>1.59</v>
      </c>
      <c r="L17" s="449">
        <v>0.54</v>
      </c>
    </row>
    <row r="18" spans="1:12" s="425" customFormat="1">
      <c r="A18" s="313">
        <v>7</v>
      </c>
      <c r="B18" s="311" t="s">
        <v>918</v>
      </c>
      <c r="C18" s="447">
        <v>94.64</v>
      </c>
      <c r="D18" s="449">
        <v>42.84</v>
      </c>
      <c r="E18" s="449">
        <v>42.43</v>
      </c>
      <c r="F18" s="449">
        <v>19.79</v>
      </c>
      <c r="G18" s="449">
        <v>102.44</v>
      </c>
      <c r="H18" s="449">
        <v>61.3</v>
      </c>
      <c r="I18" s="449">
        <v>1.42</v>
      </c>
      <c r="J18" s="449">
        <v>0.67</v>
      </c>
      <c r="K18" s="449">
        <v>1.42</v>
      </c>
      <c r="L18" s="449">
        <v>0.55000000000000004</v>
      </c>
    </row>
    <row r="19" spans="1:12" s="425" customFormat="1">
      <c r="A19" s="313">
        <v>8</v>
      </c>
      <c r="B19" s="311" t="s">
        <v>919</v>
      </c>
      <c r="C19" s="447">
        <v>169.803</v>
      </c>
      <c r="D19" s="449">
        <v>135.66999999999999</v>
      </c>
      <c r="E19" s="449">
        <v>76.13</v>
      </c>
      <c r="F19" s="449">
        <v>62.66</v>
      </c>
      <c r="G19" s="449">
        <v>194.88</v>
      </c>
      <c r="H19" s="449">
        <v>152.80000000000001</v>
      </c>
      <c r="I19" s="449">
        <v>2.5499999999999998</v>
      </c>
      <c r="J19" s="449">
        <v>2.11</v>
      </c>
      <c r="K19" s="449">
        <v>2.62</v>
      </c>
      <c r="L19" s="449">
        <v>1.73</v>
      </c>
    </row>
    <row r="20" spans="1:12" s="425" customFormat="1">
      <c r="A20" s="313">
        <v>9</v>
      </c>
      <c r="B20" s="311" t="s">
        <v>920</v>
      </c>
      <c r="C20" s="447">
        <v>153.22</v>
      </c>
      <c r="D20" s="449">
        <v>79.95</v>
      </c>
      <c r="E20" s="449">
        <v>68.7</v>
      </c>
      <c r="F20" s="449">
        <v>36.93</v>
      </c>
      <c r="G20" s="449">
        <v>147.5</v>
      </c>
      <c r="H20" s="449">
        <v>93.03</v>
      </c>
      <c r="I20" s="449">
        <v>2.2999999999999998</v>
      </c>
      <c r="J20" s="449">
        <v>1.24</v>
      </c>
      <c r="K20" s="449">
        <v>2.19</v>
      </c>
      <c r="L20" s="449">
        <v>1.02</v>
      </c>
    </row>
    <row r="21" spans="1:12" s="425" customFormat="1">
      <c r="A21" s="313">
        <v>10</v>
      </c>
      <c r="B21" s="311" t="s">
        <v>921</v>
      </c>
      <c r="C21" s="447">
        <v>148.554</v>
      </c>
      <c r="D21" s="449">
        <v>19.97</v>
      </c>
      <c r="E21" s="449">
        <v>66.599999999999994</v>
      </c>
      <c r="F21" s="449">
        <v>9.2200000000000006</v>
      </c>
      <c r="G21" s="449">
        <v>161.44999999999999</v>
      </c>
      <c r="H21" s="449">
        <v>83.13000000000001</v>
      </c>
      <c r="I21" s="449">
        <v>2.23</v>
      </c>
      <c r="J21" s="449">
        <v>0.31</v>
      </c>
      <c r="K21" s="449">
        <v>2.2400000000000002</v>
      </c>
      <c r="L21" s="449">
        <v>0.25</v>
      </c>
    </row>
    <row r="22" spans="1:12" s="425" customFormat="1">
      <c r="A22" s="313">
        <v>11</v>
      </c>
      <c r="B22" s="311" t="s">
        <v>922</v>
      </c>
      <c r="C22" s="447">
        <v>156.49199999999999</v>
      </c>
      <c r="D22" s="449">
        <v>101.58</v>
      </c>
      <c r="E22" s="449">
        <v>70.17</v>
      </c>
      <c r="F22" s="449">
        <v>46.92</v>
      </c>
      <c r="G22" s="449">
        <v>142.91</v>
      </c>
      <c r="H22" s="449">
        <v>55.429999999999993</v>
      </c>
      <c r="I22" s="449">
        <v>2.35</v>
      </c>
      <c r="J22" s="449">
        <v>1.58</v>
      </c>
      <c r="K22" s="449">
        <v>2.19</v>
      </c>
      <c r="L22" s="449">
        <v>1.3</v>
      </c>
    </row>
    <row r="23" spans="1:12" s="425" customFormat="1">
      <c r="A23" s="313">
        <v>12</v>
      </c>
      <c r="B23" s="311" t="s">
        <v>923</v>
      </c>
      <c r="C23" s="447">
        <v>70.367999999999995</v>
      </c>
      <c r="D23" s="449">
        <v>33.619999999999997</v>
      </c>
      <c r="E23" s="449">
        <v>31.549999999999997</v>
      </c>
      <c r="F23" s="449">
        <v>15.53</v>
      </c>
      <c r="G23" s="449">
        <v>64.150000000000006</v>
      </c>
      <c r="H23" s="449">
        <v>33.78</v>
      </c>
      <c r="I23" s="449">
        <v>1.06</v>
      </c>
      <c r="J23" s="449">
        <v>0.52</v>
      </c>
      <c r="K23" s="449">
        <v>0.99</v>
      </c>
      <c r="L23" s="449">
        <v>0.43</v>
      </c>
    </row>
    <row r="24" spans="1:12" s="425" customFormat="1">
      <c r="A24" s="313">
        <v>13</v>
      </c>
      <c r="B24" s="311" t="s">
        <v>924</v>
      </c>
      <c r="C24" s="447">
        <v>136.125</v>
      </c>
      <c r="D24" s="449">
        <v>33.06</v>
      </c>
      <c r="E24" s="449">
        <v>61.03</v>
      </c>
      <c r="F24" s="449">
        <v>15.27</v>
      </c>
      <c r="G24" s="449">
        <v>133.16999999999999</v>
      </c>
      <c r="H24" s="449">
        <v>56.38</v>
      </c>
      <c r="I24" s="449">
        <v>2.04</v>
      </c>
      <c r="J24" s="449">
        <v>0.51</v>
      </c>
      <c r="K24" s="449">
        <v>1.96</v>
      </c>
      <c r="L24" s="449">
        <v>0.42</v>
      </c>
    </row>
    <row r="25" spans="1:12" s="425" customFormat="1">
      <c r="A25" s="313">
        <v>14</v>
      </c>
      <c r="B25" s="311" t="s">
        <v>925</v>
      </c>
      <c r="C25" s="447">
        <v>91.602000000000004</v>
      </c>
      <c r="D25" s="449">
        <v>69.98</v>
      </c>
      <c r="E25" s="449">
        <v>41.07</v>
      </c>
      <c r="F25" s="449">
        <v>32.32</v>
      </c>
      <c r="G25" s="449">
        <v>67.36</v>
      </c>
      <c r="H25" s="449">
        <v>41.53</v>
      </c>
      <c r="I25" s="449">
        <v>1.37</v>
      </c>
      <c r="J25" s="449">
        <v>1.0900000000000001</v>
      </c>
      <c r="K25" s="449">
        <v>1.18</v>
      </c>
      <c r="L25" s="449">
        <v>0.89</v>
      </c>
    </row>
    <row r="26" spans="1:12" s="425" customFormat="1">
      <c r="A26" s="313">
        <v>15</v>
      </c>
      <c r="B26" s="311" t="s">
        <v>926</v>
      </c>
      <c r="C26" s="447">
        <v>53.627000000000002</v>
      </c>
      <c r="D26" s="449">
        <v>0.28000000000000003</v>
      </c>
      <c r="E26" s="449">
        <v>24.049999999999997</v>
      </c>
      <c r="F26" s="449">
        <v>0.13</v>
      </c>
      <c r="G26" s="449">
        <v>52.72</v>
      </c>
      <c r="H26" s="449">
        <v>2.68</v>
      </c>
      <c r="I26" s="449">
        <v>0.8</v>
      </c>
      <c r="J26" s="449">
        <v>0</v>
      </c>
      <c r="K26" s="449">
        <v>0.77</v>
      </c>
      <c r="L26" s="449">
        <v>0</v>
      </c>
    </row>
    <row r="27" spans="1:12" s="425" customFormat="1">
      <c r="A27" s="313">
        <v>16</v>
      </c>
      <c r="B27" s="311" t="s">
        <v>927</v>
      </c>
      <c r="C27" s="447">
        <v>198.22300000000001</v>
      </c>
      <c r="D27" s="449">
        <v>128.84</v>
      </c>
      <c r="E27" s="449">
        <v>88.87</v>
      </c>
      <c r="F27" s="449">
        <v>59.51</v>
      </c>
      <c r="G27" s="449">
        <v>231.76999999999998</v>
      </c>
      <c r="H27" s="449">
        <v>131.63999999999999</v>
      </c>
      <c r="I27" s="449">
        <v>2.97</v>
      </c>
      <c r="J27" s="449">
        <v>2</v>
      </c>
      <c r="K27" s="449">
        <v>3.08</v>
      </c>
      <c r="L27" s="449">
        <v>1.64</v>
      </c>
    </row>
    <row r="28" spans="1:12" s="425" customFormat="1">
      <c r="A28" s="313">
        <v>17</v>
      </c>
      <c r="B28" s="311" t="s">
        <v>928</v>
      </c>
      <c r="C28" s="447">
        <v>122.77</v>
      </c>
      <c r="D28" s="449">
        <v>41.82</v>
      </c>
      <c r="E28" s="449">
        <v>55.03</v>
      </c>
      <c r="F28" s="449">
        <v>19.309999999999999</v>
      </c>
      <c r="G28" s="449">
        <v>147.13</v>
      </c>
      <c r="H28" s="449">
        <v>54.620000000000005</v>
      </c>
      <c r="I28" s="449">
        <v>1.84</v>
      </c>
      <c r="J28" s="449">
        <v>0.65</v>
      </c>
      <c r="K28" s="449">
        <v>1.93</v>
      </c>
      <c r="L28" s="449">
        <v>0.53</v>
      </c>
    </row>
    <row r="29" spans="1:12" s="425" customFormat="1">
      <c r="A29" s="313">
        <v>18</v>
      </c>
      <c r="B29" s="311" t="s">
        <v>929</v>
      </c>
      <c r="C29" s="447">
        <v>222.16299999999998</v>
      </c>
      <c r="D29" s="449">
        <v>0.24</v>
      </c>
      <c r="E29" s="449">
        <v>99.6</v>
      </c>
      <c r="F29" s="449">
        <v>0.11</v>
      </c>
      <c r="G29" s="449">
        <v>171.68</v>
      </c>
      <c r="H29" s="449">
        <v>6.34</v>
      </c>
      <c r="I29" s="449">
        <v>3.33</v>
      </c>
      <c r="J29" s="449">
        <v>0</v>
      </c>
      <c r="K29" s="449">
        <v>2.93</v>
      </c>
      <c r="L29" s="449">
        <v>0</v>
      </c>
    </row>
    <row r="30" spans="1:12" s="425" customFormat="1">
      <c r="A30" s="313">
        <v>19</v>
      </c>
      <c r="B30" s="311" t="s">
        <v>930</v>
      </c>
      <c r="C30" s="447">
        <v>73.194999999999993</v>
      </c>
      <c r="D30" s="449">
        <v>0</v>
      </c>
      <c r="E30" s="449">
        <v>32.82</v>
      </c>
      <c r="F30" s="449">
        <v>0</v>
      </c>
      <c r="G30" s="449">
        <v>60.120000000000005</v>
      </c>
      <c r="H30" s="449">
        <v>0</v>
      </c>
      <c r="I30" s="449">
        <v>1.1000000000000001</v>
      </c>
      <c r="J30" s="449">
        <v>0</v>
      </c>
      <c r="K30" s="449">
        <v>0.98</v>
      </c>
      <c r="L30" s="449">
        <v>0</v>
      </c>
    </row>
    <row r="31" spans="1:12" s="425" customFormat="1">
      <c r="A31" s="313">
        <v>20</v>
      </c>
      <c r="B31" s="311" t="s">
        <v>931</v>
      </c>
      <c r="C31" s="447">
        <v>277.315</v>
      </c>
      <c r="D31" s="449">
        <v>81.95</v>
      </c>
      <c r="E31" s="449">
        <v>124.32999999999998</v>
      </c>
      <c r="F31" s="449">
        <v>37.85</v>
      </c>
      <c r="G31" s="449">
        <v>141.34</v>
      </c>
      <c r="H31" s="449">
        <v>44.2</v>
      </c>
      <c r="I31" s="449">
        <v>4.16</v>
      </c>
      <c r="J31" s="449">
        <v>1.28</v>
      </c>
      <c r="K31" s="449">
        <v>3.22</v>
      </c>
      <c r="L31" s="449">
        <v>1.05</v>
      </c>
    </row>
    <row r="32" spans="1:12" s="425" customFormat="1">
      <c r="A32" s="313">
        <v>21</v>
      </c>
      <c r="B32" s="311" t="s">
        <v>932</v>
      </c>
      <c r="C32" s="447">
        <v>31.843</v>
      </c>
      <c r="D32" s="449">
        <v>0</v>
      </c>
      <c r="E32" s="449">
        <v>14.3</v>
      </c>
      <c r="F32" s="449">
        <v>0</v>
      </c>
      <c r="G32" s="449">
        <v>36.46</v>
      </c>
      <c r="H32" s="449">
        <v>0</v>
      </c>
      <c r="I32" s="449">
        <v>0.48</v>
      </c>
      <c r="J32" s="449">
        <v>0</v>
      </c>
      <c r="K32" s="449">
        <v>0.49</v>
      </c>
      <c r="L32" s="449">
        <v>0</v>
      </c>
    </row>
    <row r="33" spans="1:14" s="425" customFormat="1">
      <c r="A33" s="313">
        <v>22</v>
      </c>
      <c r="B33" s="311" t="s">
        <v>933</v>
      </c>
      <c r="C33" s="447">
        <v>91.801000000000002</v>
      </c>
      <c r="D33" s="449">
        <v>8.51</v>
      </c>
      <c r="E33" s="449">
        <v>41.150000000000006</v>
      </c>
      <c r="F33" s="449">
        <v>3.93</v>
      </c>
      <c r="G33" s="449">
        <v>64.760000000000005</v>
      </c>
      <c r="H33" s="449">
        <v>13.74</v>
      </c>
      <c r="I33" s="449">
        <v>1.38</v>
      </c>
      <c r="J33" s="449">
        <v>0.13</v>
      </c>
      <c r="K33" s="449">
        <v>1.17</v>
      </c>
      <c r="L33" s="449">
        <v>0.11</v>
      </c>
    </row>
    <row r="34" spans="1:14">
      <c r="A34" s="313">
        <v>23</v>
      </c>
      <c r="B34" s="311" t="s">
        <v>934</v>
      </c>
      <c r="C34" s="447">
        <v>350.67200000000003</v>
      </c>
      <c r="D34" s="449">
        <v>122.09</v>
      </c>
      <c r="E34" s="449">
        <v>157.22</v>
      </c>
      <c r="F34" s="449">
        <v>56.39</v>
      </c>
      <c r="G34" s="449">
        <v>205.66</v>
      </c>
      <c r="H34" s="449">
        <v>86.5</v>
      </c>
      <c r="I34" s="449">
        <v>5.26</v>
      </c>
      <c r="J34" s="449">
        <v>1.9</v>
      </c>
      <c r="K34" s="449">
        <v>4.22</v>
      </c>
      <c r="L34" s="449">
        <v>1.56</v>
      </c>
    </row>
    <row r="35" spans="1:14">
      <c r="A35" s="313">
        <v>24</v>
      </c>
      <c r="B35" s="311" t="s">
        <v>935</v>
      </c>
      <c r="C35" s="447">
        <v>238.10500000000002</v>
      </c>
      <c r="D35" s="449">
        <v>59.11</v>
      </c>
      <c r="E35" s="449">
        <v>106.75</v>
      </c>
      <c r="F35" s="449">
        <v>27.3</v>
      </c>
      <c r="G35" s="449">
        <v>125.62</v>
      </c>
      <c r="H35" s="449">
        <v>53.16</v>
      </c>
      <c r="I35" s="449">
        <v>3.57</v>
      </c>
      <c r="J35" s="449">
        <v>0.92</v>
      </c>
      <c r="K35" s="449">
        <v>2.78</v>
      </c>
      <c r="L35" s="449">
        <v>0.75</v>
      </c>
    </row>
    <row r="36" spans="1:14">
      <c r="A36" s="313">
        <v>25</v>
      </c>
      <c r="B36" s="311" t="s">
        <v>936</v>
      </c>
      <c r="C36" s="447">
        <v>428.88</v>
      </c>
      <c r="D36" s="449">
        <v>95.56</v>
      </c>
      <c r="E36" s="449">
        <v>192.28</v>
      </c>
      <c r="F36" s="449">
        <v>44.13</v>
      </c>
      <c r="G36" s="449">
        <v>218.31</v>
      </c>
      <c r="H36" s="449">
        <v>76.930000000000007</v>
      </c>
      <c r="I36" s="449">
        <v>6.43</v>
      </c>
      <c r="J36" s="449">
        <v>1.49</v>
      </c>
      <c r="K36" s="449">
        <v>4.96</v>
      </c>
      <c r="L36" s="449">
        <v>1.22</v>
      </c>
    </row>
    <row r="37" spans="1:14">
      <c r="A37" s="313">
        <v>26</v>
      </c>
      <c r="B37" s="311" t="s">
        <v>937</v>
      </c>
      <c r="C37" s="447">
        <v>427.529</v>
      </c>
      <c r="D37" s="449">
        <v>105.53</v>
      </c>
      <c r="E37" s="449">
        <v>191.68</v>
      </c>
      <c r="F37" s="449">
        <v>48.74</v>
      </c>
      <c r="G37" s="449">
        <v>254.79000000000002</v>
      </c>
      <c r="H37" s="449">
        <v>115.39000000000001</v>
      </c>
      <c r="I37" s="449">
        <v>6.41</v>
      </c>
      <c r="J37" s="449">
        <v>1.64</v>
      </c>
      <c r="K37" s="449">
        <v>5.17</v>
      </c>
      <c r="L37" s="449">
        <v>1.35</v>
      </c>
    </row>
    <row r="38" spans="1:14">
      <c r="A38" s="313">
        <v>27</v>
      </c>
      <c r="B38" s="311" t="s">
        <v>938</v>
      </c>
      <c r="C38" s="447">
        <v>478.42500000000001</v>
      </c>
      <c r="D38" s="449">
        <v>433.13</v>
      </c>
      <c r="E38" s="449">
        <v>214.5</v>
      </c>
      <c r="F38" s="449">
        <v>200.04</v>
      </c>
      <c r="G38" s="449">
        <v>246.14999999999998</v>
      </c>
      <c r="H38" s="449">
        <v>120.72</v>
      </c>
      <c r="I38" s="449">
        <v>7.18</v>
      </c>
      <c r="J38" s="449">
        <v>6.74</v>
      </c>
      <c r="K38" s="449">
        <v>5.55</v>
      </c>
      <c r="L38" s="449">
        <v>5.53</v>
      </c>
    </row>
    <row r="39" spans="1:14">
      <c r="A39" s="313">
        <v>28</v>
      </c>
      <c r="B39" s="311" t="s">
        <v>939</v>
      </c>
      <c r="C39" s="447">
        <v>548.02300000000002</v>
      </c>
      <c r="D39" s="449">
        <v>65.39</v>
      </c>
      <c r="E39" s="449">
        <v>245.67000000000002</v>
      </c>
      <c r="F39" s="449">
        <v>30.2</v>
      </c>
      <c r="G39" s="449">
        <v>284.98</v>
      </c>
      <c r="H39" s="449">
        <v>143.28</v>
      </c>
      <c r="I39" s="449">
        <v>8.2200000000000006</v>
      </c>
      <c r="J39" s="449">
        <v>1.02</v>
      </c>
      <c r="K39" s="449">
        <v>6.37</v>
      </c>
      <c r="L39" s="449">
        <v>0.83</v>
      </c>
    </row>
    <row r="40" spans="1:14">
      <c r="A40" s="313">
        <v>29</v>
      </c>
      <c r="B40" s="311" t="s">
        <v>940</v>
      </c>
      <c r="C40" s="447">
        <v>330.565</v>
      </c>
      <c r="D40" s="449">
        <v>122.42</v>
      </c>
      <c r="E40" s="449">
        <v>148.19999999999999</v>
      </c>
      <c r="F40" s="449">
        <v>56.54</v>
      </c>
      <c r="G40" s="449">
        <v>226.49</v>
      </c>
      <c r="H40" s="449">
        <v>125.2</v>
      </c>
      <c r="I40" s="449">
        <v>4.96</v>
      </c>
      <c r="J40" s="449">
        <v>1.9</v>
      </c>
      <c r="K40" s="449">
        <v>4.18</v>
      </c>
      <c r="L40" s="449">
        <v>1.56</v>
      </c>
    </row>
    <row r="41" spans="1:14">
      <c r="A41" s="313">
        <v>30</v>
      </c>
      <c r="B41" s="311" t="s">
        <v>941</v>
      </c>
      <c r="C41" s="447">
        <v>605.14300000000003</v>
      </c>
      <c r="D41" s="449">
        <v>250.52</v>
      </c>
      <c r="E41" s="449">
        <v>271.3</v>
      </c>
      <c r="F41" s="449">
        <v>115.7</v>
      </c>
      <c r="G41" s="449">
        <v>277.01</v>
      </c>
      <c r="H41" s="449">
        <v>145.41999999999999</v>
      </c>
      <c r="I41" s="449">
        <v>9.08</v>
      </c>
      <c r="J41" s="449">
        <v>3.9</v>
      </c>
      <c r="K41" s="449">
        <v>6.8</v>
      </c>
      <c r="L41" s="449">
        <v>3.2</v>
      </c>
    </row>
    <row r="42" spans="1:14">
      <c r="A42" s="313">
        <v>31</v>
      </c>
      <c r="B42" s="311" t="s">
        <v>942</v>
      </c>
      <c r="C42" s="447">
        <v>600.42899999999997</v>
      </c>
      <c r="D42" s="449">
        <v>209.19</v>
      </c>
      <c r="E42" s="449">
        <v>269.20000000000005</v>
      </c>
      <c r="F42" s="449">
        <v>96.61</v>
      </c>
      <c r="G42" s="449">
        <v>272.02999999999997</v>
      </c>
      <c r="H42" s="449">
        <v>149.4</v>
      </c>
      <c r="I42" s="449">
        <v>9.01</v>
      </c>
      <c r="J42" s="449">
        <v>3.26</v>
      </c>
      <c r="K42" s="449">
        <v>6.73</v>
      </c>
      <c r="L42" s="449">
        <v>2.67</v>
      </c>
    </row>
    <row r="43" spans="1:14">
      <c r="A43" s="313">
        <v>32</v>
      </c>
      <c r="B43" s="311" t="s">
        <v>943</v>
      </c>
      <c r="C43" s="447">
        <v>381.46100000000001</v>
      </c>
      <c r="D43" s="449">
        <v>246.97</v>
      </c>
      <c r="E43" s="449">
        <v>171.01999999999998</v>
      </c>
      <c r="F43" s="449">
        <v>114.06</v>
      </c>
      <c r="G43" s="449">
        <v>169.60000000000002</v>
      </c>
      <c r="H43" s="449">
        <v>94.86</v>
      </c>
      <c r="I43" s="449">
        <v>5.72</v>
      </c>
      <c r="J43" s="449">
        <v>3.84</v>
      </c>
      <c r="K43" s="449">
        <v>4.26</v>
      </c>
      <c r="L43" s="449">
        <v>3.15</v>
      </c>
    </row>
    <row r="44" spans="1:14">
      <c r="A44" s="313">
        <v>33</v>
      </c>
      <c r="B44" s="311" t="s">
        <v>944</v>
      </c>
      <c r="C44" s="447">
        <v>522.71799999999996</v>
      </c>
      <c r="D44" s="449">
        <v>185.7</v>
      </c>
      <c r="E44" s="449">
        <v>234.35000000000002</v>
      </c>
      <c r="F44" s="449">
        <v>85.77</v>
      </c>
      <c r="G44" s="449">
        <v>254.13</v>
      </c>
      <c r="H44" s="449">
        <v>147.24</v>
      </c>
      <c r="I44" s="449">
        <v>7.8</v>
      </c>
      <c r="J44" s="449">
        <v>2.89</v>
      </c>
      <c r="K44" s="449">
        <v>5.97</v>
      </c>
      <c r="L44" s="449">
        <v>2.37</v>
      </c>
    </row>
    <row r="45" spans="1:14">
      <c r="A45" s="313">
        <v>34</v>
      </c>
      <c r="B45" s="311" t="s">
        <v>945</v>
      </c>
      <c r="C45" s="447">
        <v>361.59199999999998</v>
      </c>
      <c r="D45" s="449">
        <v>201.53</v>
      </c>
      <c r="E45" s="449">
        <v>162.12</v>
      </c>
      <c r="F45" s="449">
        <v>93.08</v>
      </c>
      <c r="G45" s="449">
        <v>143.9</v>
      </c>
      <c r="H45" s="449">
        <v>80.959999999999994</v>
      </c>
      <c r="I45" s="449">
        <v>5.42</v>
      </c>
      <c r="J45" s="449">
        <v>3.14</v>
      </c>
      <c r="K45" s="449">
        <v>3.93</v>
      </c>
      <c r="L45" s="449">
        <v>2.57</v>
      </c>
    </row>
    <row r="46" spans="1:14">
      <c r="A46" s="90" t="s">
        <v>17</v>
      </c>
      <c r="B46" s="314"/>
      <c r="C46" s="448">
        <f>SUM(C12:C45)</f>
        <v>8749.2500000000018</v>
      </c>
      <c r="D46" s="448">
        <f>SUM(D12:D45)</f>
        <v>3204.04</v>
      </c>
      <c r="E46" s="450">
        <f t="shared" ref="E46:L46" si="0">SUM(E12:E45)</f>
        <v>3922.5999999999995</v>
      </c>
      <c r="F46" s="450">
        <f t="shared" si="0"/>
        <v>1479.7899999999997</v>
      </c>
      <c r="G46" s="450">
        <f t="shared" si="0"/>
        <v>5516.6399999999994</v>
      </c>
      <c r="H46" s="450">
        <f t="shared" si="0"/>
        <v>2493.0100000000002</v>
      </c>
      <c r="I46" s="450">
        <f t="shared" si="0"/>
        <v>131.19999999999999</v>
      </c>
      <c r="J46" s="450">
        <f t="shared" si="0"/>
        <v>49.849999999999994</v>
      </c>
      <c r="K46" s="450">
        <f t="shared" si="0"/>
        <v>107.57000000000004</v>
      </c>
      <c r="L46" s="450">
        <f t="shared" si="0"/>
        <v>40.879999999999995</v>
      </c>
    </row>
    <row r="47" spans="1:14">
      <c r="A47" s="96"/>
      <c r="B47" s="121"/>
      <c r="C47" s="121"/>
      <c r="D47" s="312"/>
      <c r="E47" s="312"/>
      <c r="F47" s="312"/>
      <c r="G47" s="312"/>
      <c r="H47" s="312"/>
      <c r="I47" s="312"/>
      <c r="J47" s="692"/>
      <c r="L47" s="532"/>
      <c r="N47" s="451"/>
    </row>
    <row r="48" spans="1:14" ht="21.75" customHeight="1">
      <c r="A48" s="96"/>
      <c r="B48" s="121"/>
      <c r="C48" s="121"/>
      <c r="D48" s="312"/>
      <c r="E48" s="312"/>
      <c r="F48" s="692"/>
      <c r="G48" s="312"/>
      <c r="H48" s="312"/>
      <c r="I48" s="312"/>
      <c r="J48" s="312"/>
      <c r="M48" s="532"/>
    </row>
    <row r="49" spans="1:12" ht="15">
      <c r="A49" s="278"/>
      <c r="B49" s="278"/>
      <c r="C49" s="278"/>
      <c r="D49" s="268"/>
      <c r="E49" s="268"/>
      <c r="F49" s="268"/>
      <c r="G49" s="268"/>
      <c r="H49" s="268"/>
      <c r="I49" s="1136" t="s">
        <v>12</v>
      </c>
      <c r="J49" s="1136"/>
      <c r="K49" s="1136"/>
      <c r="L49" s="441"/>
    </row>
    <row r="50" spans="1:12" ht="15.75" customHeight="1">
      <c r="A50" s="268"/>
      <c r="B50" s="268"/>
      <c r="C50" s="1133" t="s">
        <v>906</v>
      </c>
      <c r="D50" s="1133"/>
      <c r="E50" s="1133"/>
      <c r="G50" s="440"/>
      <c r="H50" s="268"/>
      <c r="I50" s="1136" t="s">
        <v>13</v>
      </c>
      <c r="J50" s="1136"/>
      <c r="K50" s="1136"/>
      <c r="L50" s="441"/>
    </row>
    <row r="51" spans="1:12" ht="12.75" customHeight="1">
      <c r="A51" s="268"/>
      <c r="B51" s="268"/>
      <c r="C51" s="1148" t="s">
        <v>907</v>
      </c>
      <c r="D51" s="1148"/>
      <c r="E51" s="1148"/>
      <c r="G51" s="442"/>
      <c r="H51" s="268"/>
      <c r="I51" s="1136" t="s">
        <v>18</v>
      </c>
      <c r="J51" s="1136"/>
      <c r="K51" s="1136"/>
      <c r="L51" s="441"/>
    </row>
    <row r="52" spans="1:12" ht="12.75" customHeight="1">
      <c r="A52" s="268"/>
      <c r="B52" s="268"/>
      <c r="C52" s="1148" t="s">
        <v>908</v>
      </c>
      <c r="D52" s="1148"/>
      <c r="E52" s="1148"/>
      <c r="G52" s="442"/>
      <c r="H52" s="268"/>
      <c r="I52" s="801" t="s">
        <v>84</v>
      </c>
      <c r="J52" s="801"/>
      <c r="K52" s="801"/>
      <c r="L52" s="444"/>
    </row>
    <row r="53" spans="1:12" ht="15">
      <c r="A53" s="440" t="s">
        <v>11</v>
      </c>
      <c r="B53" s="290"/>
      <c r="C53" s="443"/>
      <c r="D53" s="440"/>
      <c r="E53" s="440"/>
      <c r="F53" s="440"/>
      <c r="G53" s="440"/>
      <c r="H53" s="268"/>
      <c r="I53" s="268"/>
      <c r="J53" s="268"/>
      <c r="K53" s="268"/>
      <c r="L53" s="268"/>
    </row>
    <row r="57" spans="1:12">
      <c r="A57" s="1220"/>
      <c r="B57" s="1220"/>
      <c r="C57" s="1220"/>
      <c r="D57" s="1220"/>
      <c r="E57" s="1220"/>
      <c r="F57" s="1220"/>
      <c r="G57" s="1220"/>
      <c r="H57" s="1220"/>
      <c r="I57" s="1220"/>
      <c r="J57" s="1220"/>
    </row>
    <row r="59" spans="1:12">
      <c r="A59" s="1220"/>
      <c r="B59" s="1220"/>
      <c r="C59" s="1220"/>
      <c r="D59" s="1220"/>
      <c r="E59" s="1220"/>
      <c r="F59" s="1220"/>
      <c r="G59" s="1220"/>
      <c r="H59" s="1220"/>
      <c r="I59" s="1220"/>
      <c r="J59" s="1220"/>
    </row>
  </sheetData>
  <mergeCells count="22">
    <mergeCell ref="A59:J59"/>
    <mergeCell ref="A9:A10"/>
    <mergeCell ref="B9:B10"/>
    <mergeCell ref="C9:D9"/>
    <mergeCell ref="E9:F9"/>
    <mergeCell ref="G9:H9"/>
    <mergeCell ref="I9:J9"/>
    <mergeCell ref="A57:J57"/>
    <mergeCell ref="I49:K49"/>
    <mergeCell ref="I50:K50"/>
    <mergeCell ref="I51:K51"/>
    <mergeCell ref="I52:K52"/>
    <mergeCell ref="K9:L9"/>
    <mergeCell ref="C50:E50"/>
    <mergeCell ref="C51:E51"/>
    <mergeCell ref="C52:E52"/>
    <mergeCell ref="E1:I1"/>
    <mergeCell ref="A2:J2"/>
    <mergeCell ref="A3:J3"/>
    <mergeCell ref="A8:B8"/>
    <mergeCell ref="A5:L5"/>
    <mergeCell ref="H8:L8"/>
  </mergeCells>
  <printOptions horizontalCentered="1"/>
  <pageMargins left="0.70866141732283472" right="0.70866141732283472" top="0.23622047244094491" bottom="0" header="0.31496062992125984" footer="0.31496062992125984"/>
  <pageSetup paperSize="9" scale="81" orientation="landscape" r:id="rId1"/>
</worksheet>
</file>

<file path=xl/worksheets/sheet72.xml><?xml version="1.0" encoding="utf-8"?>
<worksheet xmlns="http://schemas.openxmlformats.org/spreadsheetml/2006/main" xmlns:r="http://schemas.openxmlformats.org/officeDocument/2006/relationships">
  <sheetPr codeName="Sheet72">
    <pageSetUpPr fitToPage="1"/>
  </sheetPr>
  <dimension ref="A1:P59"/>
  <sheetViews>
    <sheetView view="pageBreakPreview" topLeftCell="A25" zoomScaleSheetLayoutView="100" workbookViewId="0">
      <selection activeCell="C33" sqref="C33:L33"/>
    </sheetView>
  </sheetViews>
  <sheetFormatPr defaultRowHeight="12.75"/>
  <cols>
    <col min="1" max="1" width="7.42578125" style="162" customWidth="1"/>
    <col min="2" max="2" width="17.7109375" style="162" customWidth="1"/>
    <col min="3" max="3" width="11" style="162" customWidth="1"/>
    <col min="4" max="4" width="10" style="162" customWidth="1"/>
    <col min="5" max="5" width="11.85546875" style="162" customWidth="1"/>
    <col min="6" max="6" width="12.140625" style="162" customWidth="1"/>
    <col min="7" max="7" width="13.28515625" style="162" customWidth="1"/>
    <col min="8" max="8" width="14.5703125" style="162" customWidth="1"/>
    <col min="9" max="9" width="10.85546875" style="162" customWidth="1"/>
    <col min="10" max="10" width="12.85546875" style="162" customWidth="1"/>
    <col min="11" max="11" width="10.85546875" style="162" customWidth="1"/>
    <col min="12" max="12" width="11.42578125" style="162" customWidth="1"/>
    <col min="13" max="16384" width="9.140625" style="162"/>
  </cols>
  <sheetData>
    <row r="1" spans="1:16" s="86" customFormat="1">
      <c r="E1" s="1217"/>
      <c r="F1" s="1217"/>
      <c r="G1" s="1217"/>
      <c r="H1" s="1217"/>
      <c r="I1" s="1217"/>
      <c r="J1" s="308" t="s">
        <v>680</v>
      </c>
    </row>
    <row r="2" spans="1:16" s="86" customFormat="1" ht="15">
      <c r="A2" s="1218" t="s">
        <v>0</v>
      </c>
      <c r="B2" s="1218"/>
      <c r="C2" s="1218"/>
      <c r="D2" s="1218"/>
      <c r="E2" s="1218"/>
      <c r="F2" s="1218"/>
      <c r="G2" s="1218"/>
      <c r="H2" s="1218"/>
      <c r="I2" s="1218"/>
      <c r="J2" s="1218"/>
    </row>
    <row r="3" spans="1:16" s="86" customFormat="1" ht="20.25">
      <c r="A3" s="881" t="s">
        <v>745</v>
      </c>
      <c r="B3" s="881"/>
      <c r="C3" s="881"/>
      <c r="D3" s="881"/>
      <c r="E3" s="881"/>
      <c r="F3" s="881"/>
      <c r="G3" s="881"/>
      <c r="H3" s="881"/>
      <c r="I3" s="881"/>
      <c r="J3" s="881"/>
    </row>
    <row r="4" spans="1:16" s="86" customFormat="1" ht="14.25" customHeight="1"/>
    <row r="5" spans="1:16" ht="16.5" customHeight="1">
      <c r="A5" s="1219" t="s">
        <v>824</v>
      </c>
      <c r="B5" s="1219"/>
      <c r="C5" s="1219"/>
      <c r="D5" s="1219"/>
      <c r="E5" s="1219"/>
      <c r="F5" s="1219"/>
      <c r="G5" s="1219"/>
      <c r="H5" s="1219"/>
      <c r="I5" s="1219"/>
      <c r="J5" s="1219"/>
      <c r="K5" s="1219"/>
      <c r="L5" s="1219"/>
    </row>
    <row r="6" spans="1:16" ht="13.5" customHeight="1">
      <c r="A6" s="309"/>
      <c r="B6" s="309"/>
      <c r="C6" s="309"/>
      <c r="D6" s="309"/>
      <c r="E6" s="309"/>
      <c r="F6" s="309"/>
      <c r="G6" s="309"/>
      <c r="H6" s="309"/>
      <c r="I6" s="309"/>
      <c r="J6" s="309"/>
    </row>
    <row r="7" spans="1:16" ht="0.75" customHeight="1"/>
    <row r="8" spans="1:16">
      <c r="A8" s="1156" t="s">
        <v>960</v>
      </c>
      <c r="B8" s="1156"/>
      <c r="C8" s="310"/>
      <c r="H8" s="902"/>
      <c r="I8" s="902"/>
      <c r="J8" s="902"/>
      <c r="K8" s="902"/>
      <c r="L8" s="902"/>
    </row>
    <row r="9" spans="1:16" ht="21" customHeight="1">
      <c r="A9" s="1041" t="s">
        <v>2</v>
      </c>
      <c r="B9" s="1041" t="s">
        <v>37</v>
      </c>
      <c r="C9" s="1221" t="s">
        <v>674</v>
      </c>
      <c r="D9" s="1221"/>
      <c r="E9" s="1221" t="s">
        <v>127</v>
      </c>
      <c r="F9" s="1221"/>
      <c r="G9" s="1221" t="s">
        <v>675</v>
      </c>
      <c r="H9" s="1221"/>
      <c r="I9" s="1221" t="s">
        <v>128</v>
      </c>
      <c r="J9" s="1221"/>
      <c r="K9" s="1221" t="s">
        <v>129</v>
      </c>
      <c r="L9" s="1221"/>
      <c r="O9" s="311"/>
      <c r="P9" s="312"/>
    </row>
    <row r="10" spans="1:16" ht="45" customHeight="1">
      <c r="A10" s="1041"/>
      <c r="B10" s="1041"/>
      <c r="C10" s="91" t="s">
        <v>676</v>
      </c>
      <c r="D10" s="91" t="s">
        <v>677</v>
      </c>
      <c r="E10" s="91" t="s">
        <v>678</v>
      </c>
      <c r="F10" s="91" t="s">
        <v>679</v>
      </c>
      <c r="G10" s="91" t="s">
        <v>678</v>
      </c>
      <c r="H10" s="91" t="s">
        <v>679</v>
      </c>
      <c r="I10" s="91" t="s">
        <v>676</v>
      </c>
      <c r="J10" s="91" t="s">
        <v>677</v>
      </c>
      <c r="K10" s="91" t="s">
        <v>676</v>
      </c>
      <c r="L10" s="91" t="s">
        <v>677</v>
      </c>
    </row>
    <row r="11" spans="1:16">
      <c r="A11" s="91">
        <v>1</v>
      </c>
      <c r="B11" s="91">
        <v>2</v>
      </c>
      <c r="C11" s="91">
        <v>3</v>
      </c>
      <c r="D11" s="91">
        <v>4</v>
      </c>
      <c r="E11" s="91">
        <v>5</v>
      </c>
      <c r="F11" s="91">
        <v>6</v>
      </c>
      <c r="G11" s="91">
        <v>7</v>
      </c>
      <c r="H11" s="91">
        <v>8</v>
      </c>
      <c r="I11" s="91">
        <v>9</v>
      </c>
      <c r="J11" s="91">
        <v>10</v>
      </c>
      <c r="K11" s="91">
        <v>11</v>
      </c>
      <c r="L11" s="91">
        <v>12</v>
      </c>
    </row>
    <row r="12" spans="1:16">
      <c r="A12" s="313">
        <v>1</v>
      </c>
      <c r="B12" s="311" t="s">
        <v>912</v>
      </c>
      <c r="C12" s="447">
        <v>231.17099999999999</v>
      </c>
      <c r="D12" s="449">
        <v>42.2</v>
      </c>
      <c r="E12" s="449">
        <v>103.52</v>
      </c>
      <c r="F12" s="449">
        <v>19.39</v>
      </c>
      <c r="G12" s="449">
        <v>0</v>
      </c>
      <c r="H12" s="449">
        <v>0</v>
      </c>
      <c r="I12" s="449">
        <v>3.47</v>
      </c>
      <c r="J12" s="449">
        <v>0.65</v>
      </c>
      <c r="K12" s="449">
        <v>1.95</v>
      </c>
      <c r="L12" s="449">
        <v>0.37</v>
      </c>
    </row>
    <row r="13" spans="1:16">
      <c r="A13" s="313">
        <v>2</v>
      </c>
      <c r="B13" s="311" t="s">
        <v>913</v>
      </c>
      <c r="C13" s="447">
        <v>321.541</v>
      </c>
      <c r="D13" s="449">
        <v>47.25</v>
      </c>
      <c r="E13" s="449">
        <v>143.98000000000002</v>
      </c>
      <c r="F13" s="449">
        <v>21.72</v>
      </c>
      <c r="G13" s="449">
        <v>0</v>
      </c>
      <c r="H13" s="449">
        <v>0</v>
      </c>
      <c r="I13" s="449">
        <v>4.82</v>
      </c>
      <c r="J13" s="449">
        <v>0.73</v>
      </c>
      <c r="K13" s="449">
        <v>2.71</v>
      </c>
      <c r="L13" s="449">
        <v>0.41</v>
      </c>
    </row>
    <row r="14" spans="1:16">
      <c r="A14" s="313">
        <v>3</v>
      </c>
      <c r="B14" s="311" t="s">
        <v>914</v>
      </c>
      <c r="C14" s="447">
        <v>274.59100000000001</v>
      </c>
      <c r="D14" s="449">
        <v>117.78</v>
      </c>
      <c r="E14" s="449">
        <v>122.94999999999999</v>
      </c>
      <c r="F14" s="449">
        <v>54.13</v>
      </c>
      <c r="G14" s="449">
        <v>0</v>
      </c>
      <c r="H14" s="449">
        <v>0</v>
      </c>
      <c r="I14" s="449">
        <v>4.12</v>
      </c>
      <c r="J14" s="449">
        <v>1.82</v>
      </c>
      <c r="K14" s="449">
        <v>2.31</v>
      </c>
      <c r="L14" s="449">
        <v>1.02</v>
      </c>
    </row>
    <row r="15" spans="1:16" s="425" customFormat="1">
      <c r="A15" s="313">
        <v>4</v>
      </c>
      <c r="B15" s="311" t="s">
        <v>915</v>
      </c>
      <c r="C15" s="447">
        <v>248.36099999999999</v>
      </c>
      <c r="D15" s="449">
        <v>61.05</v>
      </c>
      <c r="E15" s="449">
        <v>111.22</v>
      </c>
      <c r="F15" s="449">
        <v>28.06</v>
      </c>
      <c r="G15" s="449">
        <v>0</v>
      </c>
      <c r="H15" s="449">
        <v>0</v>
      </c>
      <c r="I15" s="449">
        <v>3.73</v>
      </c>
      <c r="J15" s="449">
        <v>0.94</v>
      </c>
      <c r="K15" s="449">
        <v>2.09</v>
      </c>
      <c r="L15" s="449">
        <v>0.53</v>
      </c>
    </row>
    <row r="16" spans="1:16" s="425" customFormat="1">
      <c r="A16" s="313">
        <v>5</v>
      </c>
      <c r="B16" s="311" t="s">
        <v>916</v>
      </c>
      <c r="C16" s="447">
        <v>187.40899999999999</v>
      </c>
      <c r="D16" s="449">
        <v>18.93</v>
      </c>
      <c r="E16" s="449">
        <v>83.92</v>
      </c>
      <c r="F16" s="449">
        <v>8.6999999999999993</v>
      </c>
      <c r="G16" s="449">
        <v>0</v>
      </c>
      <c r="H16" s="449">
        <v>0</v>
      </c>
      <c r="I16" s="449">
        <v>2.81</v>
      </c>
      <c r="J16" s="449">
        <v>0.28999999999999998</v>
      </c>
      <c r="K16" s="449">
        <v>1.58</v>
      </c>
      <c r="L16" s="449">
        <v>0.16</v>
      </c>
    </row>
    <row r="17" spans="1:12" s="425" customFormat="1">
      <c r="A17" s="313">
        <v>6</v>
      </c>
      <c r="B17" s="311" t="s">
        <v>917</v>
      </c>
      <c r="C17" s="447">
        <v>118.90700000000001</v>
      </c>
      <c r="D17" s="449">
        <v>33.75</v>
      </c>
      <c r="E17" s="449">
        <v>53.25</v>
      </c>
      <c r="F17" s="449">
        <v>15.51</v>
      </c>
      <c r="G17" s="449">
        <v>0</v>
      </c>
      <c r="H17" s="449">
        <v>0</v>
      </c>
      <c r="I17" s="449">
        <v>1.78</v>
      </c>
      <c r="J17" s="449">
        <v>0.52</v>
      </c>
      <c r="K17" s="449">
        <v>1</v>
      </c>
      <c r="L17" s="449">
        <v>0.28999999999999998</v>
      </c>
    </row>
    <row r="18" spans="1:12" s="425" customFormat="1">
      <c r="A18" s="313">
        <v>7</v>
      </c>
      <c r="B18" s="311" t="s">
        <v>918</v>
      </c>
      <c r="C18" s="447">
        <v>100.06500000000001</v>
      </c>
      <c r="D18" s="449">
        <v>43.94</v>
      </c>
      <c r="E18" s="449">
        <v>44.8</v>
      </c>
      <c r="F18" s="449">
        <v>20.190000000000001</v>
      </c>
      <c r="G18" s="449">
        <v>0</v>
      </c>
      <c r="H18" s="449">
        <v>0</v>
      </c>
      <c r="I18" s="449">
        <v>1.5</v>
      </c>
      <c r="J18" s="449">
        <v>0.68</v>
      </c>
      <c r="K18" s="449">
        <v>0.84</v>
      </c>
      <c r="L18" s="449">
        <v>0.38</v>
      </c>
    </row>
    <row r="19" spans="1:12" s="425" customFormat="1">
      <c r="A19" s="313">
        <v>8</v>
      </c>
      <c r="B19" s="311" t="s">
        <v>919</v>
      </c>
      <c r="C19" s="447">
        <v>169.18599999999998</v>
      </c>
      <c r="D19" s="449">
        <v>82.52</v>
      </c>
      <c r="E19" s="449">
        <v>75.75</v>
      </c>
      <c r="F19" s="449">
        <v>37.92</v>
      </c>
      <c r="G19" s="449">
        <v>0</v>
      </c>
      <c r="H19" s="449">
        <v>0</v>
      </c>
      <c r="I19" s="449">
        <v>2.54</v>
      </c>
      <c r="J19" s="449">
        <v>1.27</v>
      </c>
      <c r="K19" s="449">
        <v>1.42</v>
      </c>
      <c r="L19" s="449">
        <v>0.71</v>
      </c>
    </row>
    <row r="20" spans="1:12" s="425" customFormat="1">
      <c r="A20" s="313">
        <v>9</v>
      </c>
      <c r="B20" s="311" t="s">
        <v>920</v>
      </c>
      <c r="C20" s="447">
        <v>158.50800000000001</v>
      </c>
      <c r="D20" s="449">
        <v>48.96</v>
      </c>
      <c r="E20" s="449">
        <v>70.98</v>
      </c>
      <c r="F20" s="449">
        <v>22.5</v>
      </c>
      <c r="G20" s="449">
        <v>0</v>
      </c>
      <c r="H20" s="449">
        <v>0</v>
      </c>
      <c r="I20" s="449">
        <v>2.38</v>
      </c>
      <c r="J20" s="449">
        <v>0.76</v>
      </c>
      <c r="K20" s="449">
        <v>1.33</v>
      </c>
      <c r="L20" s="449">
        <v>0.42</v>
      </c>
    </row>
    <row r="21" spans="1:12" s="425" customFormat="1">
      <c r="A21" s="313">
        <v>10</v>
      </c>
      <c r="B21" s="311" t="s">
        <v>921</v>
      </c>
      <c r="C21" s="447">
        <v>168.15800000000002</v>
      </c>
      <c r="D21" s="449">
        <v>24</v>
      </c>
      <c r="E21" s="449">
        <v>75.3</v>
      </c>
      <c r="F21" s="449">
        <v>11.03</v>
      </c>
      <c r="G21" s="449">
        <v>0</v>
      </c>
      <c r="H21" s="449">
        <v>0</v>
      </c>
      <c r="I21" s="449">
        <v>2.52</v>
      </c>
      <c r="J21" s="449">
        <v>0.37</v>
      </c>
      <c r="K21" s="449">
        <v>1.42</v>
      </c>
      <c r="L21" s="449">
        <v>0.21</v>
      </c>
    </row>
    <row r="22" spans="1:12" s="425" customFormat="1">
      <c r="A22" s="313">
        <v>11</v>
      </c>
      <c r="B22" s="311" t="s">
        <v>922</v>
      </c>
      <c r="C22" s="447">
        <v>142.11799999999999</v>
      </c>
      <c r="D22" s="449">
        <v>38.33</v>
      </c>
      <c r="E22" s="449">
        <v>63.629999999999995</v>
      </c>
      <c r="F22" s="449">
        <v>17.62</v>
      </c>
      <c r="G22" s="449">
        <v>0</v>
      </c>
      <c r="H22" s="449">
        <v>0</v>
      </c>
      <c r="I22" s="449">
        <v>2.13</v>
      </c>
      <c r="J22" s="449">
        <v>0.59</v>
      </c>
      <c r="K22" s="449">
        <v>1.2</v>
      </c>
      <c r="L22" s="449">
        <v>0.33</v>
      </c>
    </row>
    <row r="23" spans="1:12" s="425" customFormat="1">
      <c r="A23" s="313">
        <v>12</v>
      </c>
      <c r="B23" s="311" t="s">
        <v>923</v>
      </c>
      <c r="C23" s="447">
        <v>66.344000000000008</v>
      </c>
      <c r="D23" s="449">
        <v>29.29</v>
      </c>
      <c r="E23" s="449">
        <v>29.700000000000003</v>
      </c>
      <c r="F23" s="449">
        <v>13.46</v>
      </c>
      <c r="G23" s="449">
        <v>0</v>
      </c>
      <c r="H23" s="449">
        <v>0</v>
      </c>
      <c r="I23" s="449">
        <v>1</v>
      </c>
      <c r="J23" s="449">
        <v>0.45</v>
      </c>
      <c r="K23" s="449">
        <v>0.56000000000000005</v>
      </c>
      <c r="L23" s="449">
        <v>0.25</v>
      </c>
    </row>
    <row r="24" spans="1:12" s="425" customFormat="1">
      <c r="A24" s="313">
        <v>13</v>
      </c>
      <c r="B24" s="311" t="s">
        <v>924</v>
      </c>
      <c r="C24" s="447">
        <v>133.93800000000002</v>
      </c>
      <c r="D24" s="449">
        <v>55.37</v>
      </c>
      <c r="E24" s="449">
        <v>59.97</v>
      </c>
      <c r="F24" s="449">
        <v>25.45</v>
      </c>
      <c r="G24" s="449">
        <v>0</v>
      </c>
      <c r="H24" s="449">
        <v>0</v>
      </c>
      <c r="I24" s="449">
        <v>2.0099999999999998</v>
      </c>
      <c r="J24" s="449">
        <v>0.85</v>
      </c>
      <c r="K24" s="449">
        <v>1.1299999999999999</v>
      </c>
      <c r="L24" s="449">
        <v>0.48</v>
      </c>
    </row>
    <row r="25" spans="1:12" s="425" customFormat="1">
      <c r="A25" s="313">
        <v>14</v>
      </c>
      <c r="B25" s="311" t="s">
        <v>925</v>
      </c>
      <c r="C25" s="447">
        <v>93.739000000000004</v>
      </c>
      <c r="D25" s="449">
        <v>42.35</v>
      </c>
      <c r="E25" s="449">
        <v>41.97</v>
      </c>
      <c r="F25" s="449">
        <v>19.46</v>
      </c>
      <c r="G25" s="449">
        <v>0</v>
      </c>
      <c r="H25" s="449">
        <v>0</v>
      </c>
      <c r="I25" s="449">
        <v>1.41</v>
      </c>
      <c r="J25" s="449">
        <v>0.65</v>
      </c>
      <c r="K25" s="449">
        <v>0.79</v>
      </c>
      <c r="L25" s="449">
        <v>0.37</v>
      </c>
    </row>
    <row r="26" spans="1:12" s="425" customFormat="1">
      <c r="A26" s="313">
        <v>15</v>
      </c>
      <c r="B26" s="311" t="s">
        <v>926</v>
      </c>
      <c r="C26" s="447">
        <v>60.475000000000001</v>
      </c>
      <c r="D26" s="449">
        <v>4.42</v>
      </c>
      <c r="E26" s="449">
        <v>27.08</v>
      </c>
      <c r="F26" s="449">
        <v>2.0299999999999998</v>
      </c>
      <c r="G26" s="449">
        <v>0</v>
      </c>
      <c r="H26" s="449">
        <v>0</v>
      </c>
      <c r="I26" s="449">
        <v>0.91</v>
      </c>
      <c r="J26" s="449">
        <v>7.0000000000000007E-2</v>
      </c>
      <c r="K26" s="449">
        <v>0.51</v>
      </c>
      <c r="L26" s="449">
        <v>0.04</v>
      </c>
    </row>
    <row r="27" spans="1:12" s="425" customFormat="1">
      <c r="A27" s="313">
        <v>16</v>
      </c>
      <c r="B27" s="311" t="s">
        <v>927</v>
      </c>
      <c r="C27" s="447">
        <v>202.45000000000002</v>
      </c>
      <c r="D27" s="449">
        <v>97.13</v>
      </c>
      <c r="E27" s="449">
        <v>90.65</v>
      </c>
      <c r="F27" s="449">
        <v>44.64</v>
      </c>
      <c r="G27" s="449">
        <v>0</v>
      </c>
      <c r="H27" s="449">
        <v>0</v>
      </c>
      <c r="I27" s="449">
        <v>3.04</v>
      </c>
      <c r="J27" s="449">
        <v>1.5</v>
      </c>
      <c r="K27" s="449">
        <v>1.7</v>
      </c>
      <c r="L27" s="449">
        <v>0.84</v>
      </c>
    </row>
    <row r="28" spans="1:12" s="425" customFormat="1">
      <c r="A28" s="313">
        <v>17</v>
      </c>
      <c r="B28" s="311" t="s">
        <v>928</v>
      </c>
      <c r="C28" s="447">
        <v>121.69499999999999</v>
      </c>
      <c r="D28" s="449">
        <v>40.98</v>
      </c>
      <c r="E28" s="449">
        <v>54.5</v>
      </c>
      <c r="F28" s="449">
        <v>18.829999999999998</v>
      </c>
      <c r="G28" s="449">
        <v>0</v>
      </c>
      <c r="H28" s="449">
        <v>0</v>
      </c>
      <c r="I28" s="449">
        <v>1.83</v>
      </c>
      <c r="J28" s="449">
        <v>0.63</v>
      </c>
      <c r="K28" s="449">
        <v>1.02</v>
      </c>
      <c r="L28" s="449">
        <v>0.35</v>
      </c>
    </row>
    <row r="29" spans="1:12" s="425" customFormat="1">
      <c r="A29" s="313">
        <v>18</v>
      </c>
      <c r="B29" s="311" t="s">
        <v>929</v>
      </c>
      <c r="C29" s="447">
        <v>248.59299999999999</v>
      </c>
      <c r="D29" s="449">
        <v>5.51</v>
      </c>
      <c r="E29" s="449">
        <v>111.32000000000001</v>
      </c>
      <c r="F29" s="449">
        <v>2.5299999999999998</v>
      </c>
      <c r="G29" s="449">
        <v>0</v>
      </c>
      <c r="H29" s="449">
        <v>0</v>
      </c>
      <c r="I29" s="449">
        <v>3.73</v>
      </c>
      <c r="J29" s="449">
        <v>0.09</v>
      </c>
      <c r="K29" s="449">
        <v>2.09</v>
      </c>
      <c r="L29" s="449">
        <v>0.05</v>
      </c>
    </row>
    <row r="30" spans="1:12" s="425" customFormat="1">
      <c r="A30" s="313">
        <v>19</v>
      </c>
      <c r="B30" s="311" t="s">
        <v>930</v>
      </c>
      <c r="C30" s="447">
        <v>83.149999999999991</v>
      </c>
      <c r="D30" s="449">
        <v>0</v>
      </c>
      <c r="E30" s="449">
        <v>37.230000000000004</v>
      </c>
      <c r="F30" s="449">
        <v>0</v>
      </c>
      <c r="G30" s="449">
        <v>0</v>
      </c>
      <c r="H30" s="449">
        <v>0</v>
      </c>
      <c r="I30" s="449">
        <v>1.25</v>
      </c>
      <c r="J30" s="449">
        <v>0</v>
      </c>
      <c r="K30" s="449">
        <v>0.7</v>
      </c>
      <c r="L30" s="449">
        <v>0</v>
      </c>
    </row>
    <row r="31" spans="1:12" s="425" customFormat="1">
      <c r="A31" s="313">
        <v>20</v>
      </c>
      <c r="B31" s="311" t="s">
        <v>931</v>
      </c>
      <c r="C31" s="447">
        <v>257.916</v>
      </c>
      <c r="D31" s="449">
        <v>56.21</v>
      </c>
      <c r="E31" s="449">
        <v>115.48</v>
      </c>
      <c r="F31" s="449">
        <v>25.83</v>
      </c>
      <c r="G31" s="449">
        <v>0</v>
      </c>
      <c r="H31" s="449">
        <v>0</v>
      </c>
      <c r="I31" s="449">
        <v>3.87</v>
      </c>
      <c r="J31" s="449">
        <v>0.87</v>
      </c>
      <c r="K31" s="449">
        <v>2.17</v>
      </c>
      <c r="L31" s="449">
        <v>0.49</v>
      </c>
    </row>
    <row r="32" spans="1:12" s="425" customFormat="1">
      <c r="A32" s="313">
        <v>21</v>
      </c>
      <c r="B32" s="311" t="s">
        <v>932</v>
      </c>
      <c r="C32" s="447">
        <v>38.036000000000001</v>
      </c>
      <c r="D32" s="449">
        <v>0</v>
      </c>
      <c r="E32" s="449">
        <v>17.03</v>
      </c>
      <c r="F32" s="449">
        <v>0</v>
      </c>
      <c r="G32" s="449">
        <v>0</v>
      </c>
      <c r="H32" s="449">
        <v>0</v>
      </c>
      <c r="I32" s="449">
        <v>0.56999999999999995</v>
      </c>
      <c r="J32" s="449">
        <v>0</v>
      </c>
      <c r="K32" s="449">
        <v>0.32</v>
      </c>
      <c r="L32" s="449">
        <v>0</v>
      </c>
    </row>
    <row r="33" spans="1:12">
      <c r="A33" s="313">
        <v>22</v>
      </c>
      <c r="B33" s="311" t="s">
        <v>933</v>
      </c>
      <c r="C33" s="447">
        <v>82</v>
      </c>
      <c r="D33" s="449">
        <v>12.46</v>
      </c>
      <c r="E33" s="449">
        <v>36.72</v>
      </c>
      <c r="F33" s="449">
        <v>5.73</v>
      </c>
      <c r="G33" s="449">
        <v>0</v>
      </c>
      <c r="H33" s="449">
        <v>0</v>
      </c>
      <c r="I33" s="449">
        <v>1.23</v>
      </c>
      <c r="J33" s="449">
        <v>0.19</v>
      </c>
      <c r="K33" s="449">
        <v>0.69</v>
      </c>
      <c r="L33" s="449">
        <v>0.11</v>
      </c>
    </row>
    <row r="34" spans="1:12">
      <c r="A34" s="313">
        <v>23</v>
      </c>
      <c r="B34" s="311" t="s">
        <v>934</v>
      </c>
      <c r="C34" s="447">
        <v>315.01600000000002</v>
      </c>
      <c r="D34" s="449">
        <v>89.17</v>
      </c>
      <c r="E34" s="449">
        <v>141.05000000000001</v>
      </c>
      <c r="F34" s="449">
        <v>40.98</v>
      </c>
      <c r="G34" s="449">
        <v>0</v>
      </c>
      <c r="H34" s="449">
        <v>0</v>
      </c>
      <c r="I34" s="449">
        <v>4.7300000000000004</v>
      </c>
      <c r="J34" s="449">
        <v>1.38</v>
      </c>
      <c r="K34" s="449">
        <v>2.65</v>
      </c>
      <c r="L34" s="449">
        <v>0.77</v>
      </c>
    </row>
    <row r="35" spans="1:12">
      <c r="A35" s="313">
        <v>24</v>
      </c>
      <c r="B35" s="311" t="s">
        <v>935</v>
      </c>
      <c r="C35" s="447">
        <v>211.94799999999998</v>
      </c>
      <c r="D35" s="449">
        <v>190.67</v>
      </c>
      <c r="E35" s="449">
        <v>94.9</v>
      </c>
      <c r="F35" s="449">
        <v>87.63</v>
      </c>
      <c r="G35" s="449">
        <v>0</v>
      </c>
      <c r="H35" s="449">
        <v>0</v>
      </c>
      <c r="I35" s="449">
        <v>3.18</v>
      </c>
      <c r="J35" s="449">
        <v>2.94</v>
      </c>
      <c r="K35" s="449">
        <v>1.78</v>
      </c>
      <c r="L35" s="449">
        <v>1.65</v>
      </c>
    </row>
    <row r="36" spans="1:12">
      <c r="A36" s="313">
        <v>25</v>
      </c>
      <c r="B36" s="311" t="s">
        <v>936</v>
      </c>
      <c r="C36" s="447">
        <v>408.08300000000003</v>
      </c>
      <c r="D36" s="449">
        <v>57.47</v>
      </c>
      <c r="E36" s="449">
        <v>182.73000000000002</v>
      </c>
      <c r="F36" s="449">
        <v>26.41</v>
      </c>
      <c r="G36" s="449">
        <v>0</v>
      </c>
      <c r="H36" s="449">
        <v>0</v>
      </c>
      <c r="I36" s="449">
        <v>6.12</v>
      </c>
      <c r="J36" s="449">
        <v>0.89</v>
      </c>
      <c r="K36" s="449">
        <v>3.43</v>
      </c>
      <c r="L36" s="449">
        <v>0.5</v>
      </c>
    </row>
    <row r="37" spans="1:12">
      <c r="A37" s="313">
        <v>26</v>
      </c>
      <c r="B37" s="311" t="s">
        <v>937</v>
      </c>
      <c r="C37" s="447">
        <v>402.25</v>
      </c>
      <c r="D37" s="449">
        <v>124.09</v>
      </c>
      <c r="E37" s="449">
        <v>180.12</v>
      </c>
      <c r="F37" s="449">
        <v>57.03</v>
      </c>
      <c r="G37" s="449">
        <v>0</v>
      </c>
      <c r="H37" s="449">
        <v>0</v>
      </c>
      <c r="I37" s="449">
        <v>6.03</v>
      </c>
      <c r="J37" s="449">
        <v>1.92</v>
      </c>
      <c r="K37" s="449">
        <v>3.38</v>
      </c>
      <c r="L37" s="449">
        <v>1.07</v>
      </c>
    </row>
    <row r="38" spans="1:12">
      <c r="A38" s="313">
        <v>27</v>
      </c>
      <c r="B38" s="311" t="s">
        <v>938</v>
      </c>
      <c r="C38" s="447">
        <v>452.19900000000001</v>
      </c>
      <c r="D38" s="449">
        <v>292.42</v>
      </c>
      <c r="E38" s="449">
        <v>202.48</v>
      </c>
      <c r="F38" s="449">
        <v>134.38999999999999</v>
      </c>
      <c r="G38" s="449">
        <v>0</v>
      </c>
      <c r="H38" s="449">
        <v>0</v>
      </c>
      <c r="I38" s="449">
        <v>6.78</v>
      </c>
      <c r="J38" s="449">
        <v>4.51</v>
      </c>
      <c r="K38" s="449">
        <v>3.81</v>
      </c>
      <c r="L38" s="449">
        <v>2.5299999999999998</v>
      </c>
    </row>
    <row r="39" spans="1:12">
      <c r="A39" s="313">
        <v>28</v>
      </c>
      <c r="B39" s="311" t="s">
        <v>939</v>
      </c>
      <c r="C39" s="447">
        <v>479.88599999999997</v>
      </c>
      <c r="D39" s="449">
        <v>256.66000000000003</v>
      </c>
      <c r="E39" s="449">
        <v>214.88</v>
      </c>
      <c r="F39" s="449">
        <v>117.96</v>
      </c>
      <c r="G39" s="449">
        <v>0</v>
      </c>
      <c r="H39" s="449">
        <v>0</v>
      </c>
      <c r="I39" s="449">
        <v>7.2</v>
      </c>
      <c r="J39" s="449">
        <v>3.96</v>
      </c>
      <c r="K39" s="449">
        <v>4.04</v>
      </c>
      <c r="L39" s="449">
        <v>2.2200000000000002</v>
      </c>
    </row>
    <row r="40" spans="1:12">
      <c r="A40" s="313">
        <v>29</v>
      </c>
      <c r="B40" s="311" t="s">
        <v>940</v>
      </c>
      <c r="C40" s="447">
        <v>310.54300000000001</v>
      </c>
      <c r="D40" s="449">
        <v>92.72</v>
      </c>
      <c r="E40" s="449">
        <v>139.05000000000001</v>
      </c>
      <c r="F40" s="449">
        <v>42.62</v>
      </c>
      <c r="G40" s="449">
        <v>0</v>
      </c>
      <c r="H40" s="449">
        <v>0</v>
      </c>
      <c r="I40" s="449">
        <v>4.66</v>
      </c>
      <c r="J40" s="449">
        <v>1.43</v>
      </c>
      <c r="K40" s="449">
        <v>2.61</v>
      </c>
      <c r="L40" s="449">
        <v>0.8</v>
      </c>
    </row>
    <row r="41" spans="1:12">
      <c r="A41" s="313">
        <v>30</v>
      </c>
      <c r="B41" s="311" t="s">
        <v>941</v>
      </c>
      <c r="C41" s="447">
        <v>545.13900000000001</v>
      </c>
      <c r="D41" s="449">
        <v>217.26</v>
      </c>
      <c r="E41" s="449">
        <v>244.10000000000002</v>
      </c>
      <c r="F41" s="449">
        <v>99.85</v>
      </c>
      <c r="G41" s="449">
        <v>0</v>
      </c>
      <c r="H41" s="449">
        <v>0</v>
      </c>
      <c r="I41" s="449">
        <v>8.18</v>
      </c>
      <c r="J41" s="449">
        <v>3.35</v>
      </c>
      <c r="K41" s="449">
        <v>4.59</v>
      </c>
      <c r="L41" s="449">
        <v>1.88</v>
      </c>
    </row>
    <row r="42" spans="1:12">
      <c r="A42" s="313">
        <v>31</v>
      </c>
      <c r="B42" s="311" t="s">
        <v>942</v>
      </c>
      <c r="C42" s="447">
        <v>510.51</v>
      </c>
      <c r="D42" s="449">
        <v>117.4</v>
      </c>
      <c r="E42" s="449">
        <v>228.6</v>
      </c>
      <c r="F42" s="449">
        <v>53.95</v>
      </c>
      <c r="G42" s="449">
        <v>0</v>
      </c>
      <c r="H42" s="449">
        <v>0</v>
      </c>
      <c r="I42" s="449">
        <v>7.66</v>
      </c>
      <c r="J42" s="449">
        <v>1.81</v>
      </c>
      <c r="K42" s="449">
        <v>4.3</v>
      </c>
      <c r="L42" s="449">
        <v>1.02</v>
      </c>
    </row>
    <row r="43" spans="1:12">
      <c r="A43" s="313">
        <v>32</v>
      </c>
      <c r="B43" s="311" t="s">
        <v>943</v>
      </c>
      <c r="C43" s="447">
        <v>325.12799999999999</v>
      </c>
      <c r="D43" s="449">
        <v>169.91</v>
      </c>
      <c r="E43" s="449">
        <v>145.57999999999998</v>
      </c>
      <c r="F43" s="449">
        <v>78.09</v>
      </c>
      <c r="G43" s="449">
        <v>0</v>
      </c>
      <c r="H43" s="449">
        <v>0</v>
      </c>
      <c r="I43" s="449">
        <v>4.88</v>
      </c>
      <c r="J43" s="449">
        <v>2.62</v>
      </c>
      <c r="K43" s="449">
        <v>2.74</v>
      </c>
      <c r="L43" s="449">
        <v>1.47</v>
      </c>
    </row>
    <row r="44" spans="1:12">
      <c r="A44" s="313">
        <v>33</v>
      </c>
      <c r="B44" s="311" t="s">
        <v>944</v>
      </c>
      <c r="C44" s="447">
        <v>413.553</v>
      </c>
      <c r="D44" s="449">
        <v>110.59</v>
      </c>
      <c r="E44" s="449">
        <v>185.18</v>
      </c>
      <c r="F44" s="449">
        <v>50.82</v>
      </c>
      <c r="G44" s="449">
        <v>0</v>
      </c>
      <c r="H44" s="449">
        <v>0</v>
      </c>
      <c r="I44" s="449">
        <v>6.2</v>
      </c>
      <c r="J44" s="449">
        <v>1.71</v>
      </c>
      <c r="K44" s="449">
        <v>3.48</v>
      </c>
      <c r="L44" s="449">
        <v>0.96</v>
      </c>
    </row>
    <row r="45" spans="1:12">
      <c r="A45" s="313">
        <v>34</v>
      </c>
      <c r="B45" s="311" t="s">
        <v>945</v>
      </c>
      <c r="C45" s="447">
        <v>279.70400000000001</v>
      </c>
      <c r="D45" s="449">
        <v>155.32</v>
      </c>
      <c r="E45" s="449">
        <v>125.25</v>
      </c>
      <c r="F45" s="449">
        <v>71.38</v>
      </c>
      <c r="G45" s="449">
        <v>0</v>
      </c>
      <c r="H45" s="449">
        <v>0</v>
      </c>
      <c r="I45" s="449">
        <v>4.2</v>
      </c>
      <c r="J45" s="449">
        <v>2.4</v>
      </c>
      <c r="K45" s="449">
        <v>2.35</v>
      </c>
      <c r="L45" s="449">
        <v>1.35</v>
      </c>
    </row>
    <row r="46" spans="1:12">
      <c r="A46" s="90" t="s">
        <v>17</v>
      </c>
      <c r="B46" s="314"/>
      <c r="C46" s="448">
        <f>SUM(C12:C45)</f>
        <v>8162.3099999999995</v>
      </c>
      <c r="D46" s="450">
        <f t="shared" ref="D46:L46" si="0">SUM(D12:D45)</f>
        <v>2776.1100000000006</v>
      </c>
      <c r="E46" s="450">
        <f t="shared" si="0"/>
        <v>3654.87</v>
      </c>
      <c r="F46" s="450">
        <f t="shared" si="0"/>
        <v>1275.8399999999997</v>
      </c>
      <c r="G46" s="450">
        <f t="shared" si="0"/>
        <v>0</v>
      </c>
      <c r="H46" s="450">
        <f t="shared" si="0"/>
        <v>0</v>
      </c>
      <c r="I46" s="450">
        <f t="shared" si="0"/>
        <v>122.46999999999997</v>
      </c>
      <c r="J46" s="450">
        <f t="shared" si="0"/>
        <v>42.839999999999996</v>
      </c>
      <c r="K46" s="450">
        <f t="shared" si="0"/>
        <v>68.69</v>
      </c>
      <c r="L46" s="450">
        <f t="shared" si="0"/>
        <v>24.03</v>
      </c>
    </row>
    <row r="47" spans="1:12">
      <c r="A47" s="96"/>
      <c r="B47" s="121"/>
      <c r="C47" s="121"/>
      <c r="D47" s="312"/>
      <c r="E47" s="312"/>
      <c r="F47" s="312"/>
      <c r="G47" s="312"/>
      <c r="H47" s="312"/>
      <c r="I47" s="312"/>
      <c r="J47" s="312"/>
    </row>
    <row r="49" spans="1:12" ht="15">
      <c r="A49" s="278"/>
      <c r="B49" s="1133" t="s">
        <v>906</v>
      </c>
      <c r="C49" s="1133"/>
      <c r="D49" s="1133"/>
      <c r="E49" s="268"/>
      <c r="F49" s="268"/>
      <c r="G49" s="268"/>
      <c r="H49" s="268"/>
      <c r="I49" s="1136" t="s">
        <v>12</v>
      </c>
      <c r="J49" s="1136"/>
      <c r="K49" s="1136"/>
      <c r="L49" s="441"/>
    </row>
    <row r="50" spans="1:12" ht="15.75" customHeight="1">
      <c r="A50" s="268"/>
      <c r="B50" s="1148" t="s">
        <v>907</v>
      </c>
      <c r="C50" s="1148"/>
      <c r="D50" s="1148"/>
      <c r="E50" s="783"/>
      <c r="F50" s="783"/>
      <c r="G50" s="440"/>
      <c r="H50" s="268"/>
      <c r="I50" s="1136" t="s">
        <v>13</v>
      </c>
      <c r="J50" s="1136"/>
      <c r="K50" s="1136"/>
      <c r="L50" s="441"/>
    </row>
    <row r="51" spans="1:12" ht="12.75" customHeight="1">
      <c r="A51" s="268"/>
      <c r="B51" s="1148" t="s">
        <v>908</v>
      </c>
      <c r="C51" s="1148"/>
      <c r="D51" s="1148"/>
      <c r="E51" s="784"/>
      <c r="F51" s="784"/>
      <c r="G51" s="442"/>
      <c r="H51" s="268"/>
      <c r="I51" s="1136" t="s">
        <v>18</v>
      </c>
      <c r="J51" s="1136"/>
      <c r="K51" s="1136"/>
      <c r="L51" s="441"/>
    </row>
    <row r="52" spans="1:12" ht="12.75" customHeight="1">
      <c r="A52" s="268"/>
      <c r="B52" s="268"/>
      <c r="C52" s="268"/>
      <c r="E52" s="784"/>
      <c r="F52" s="784"/>
      <c r="G52" s="442"/>
      <c r="H52" s="268"/>
      <c r="I52" s="801" t="s">
        <v>84</v>
      </c>
      <c r="J52" s="801"/>
      <c r="K52" s="801"/>
      <c r="L52" s="444"/>
    </row>
    <row r="53" spans="1:12" ht="15">
      <c r="A53" s="440" t="s">
        <v>11</v>
      </c>
      <c r="B53" s="290"/>
      <c r="C53" s="443"/>
      <c r="D53" s="440"/>
      <c r="E53" s="440"/>
      <c r="F53" s="440"/>
      <c r="G53" s="440"/>
      <c r="H53" s="268"/>
      <c r="I53" s="268"/>
      <c r="J53" s="268"/>
      <c r="K53" s="268"/>
      <c r="L53" s="268"/>
    </row>
    <row r="54" spans="1:12">
      <c r="A54" s="425"/>
      <c r="B54" s="425"/>
      <c r="C54" s="425"/>
      <c r="D54" s="425"/>
      <c r="E54" s="425"/>
      <c r="F54" s="425"/>
      <c r="G54" s="425"/>
      <c r="H54" s="425"/>
      <c r="I54" s="425"/>
      <c r="J54" s="425"/>
      <c r="K54" s="425"/>
      <c r="L54" s="425"/>
    </row>
    <row r="57" spans="1:12">
      <c r="A57" s="1220"/>
      <c r="B57" s="1220"/>
      <c r="C57" s="1220"/>
      <c r="D57" s="1220"/>
      <c r="E57" s="1220"/>
      <c r="F57" s="1220"/>
      <c r="G57" s="1220"/>
      <c r="H57" s="1220"/>
      <c r="I57" s="1220"/>
      <c r="J57" s="1220"/>
    </row>
    <row r="59" spans="1:12">
      <c r="A59" s="1220"/>
      <c r="B59" s="1220"/>
      <c r="C59" s="1220"/>
      <c r="D59" s="1220"/>
      <c r="E59" s="1220"/>
      <c r="F59" s="1220"/>
      <c r="G59" s="1220"/>
      <c r="H59" s="1220"/>
      <c r="I59" s="1220"/>
      <c r="J59" s="1220"/>
    </row>
  </sheetData>
  <mergeCells count="22">
    <mergeCell ref="A59:J59"/>
    <mergeCell ref="A9:A10"/>
    <mergeCell ref="B9:B10"/>
    <mergeCell ref="C9:D9"/>
    <mergeCell ref="E9:F9"/>
    <mergeCell ref="G9:H9"/>
    <mergeCell ref="I9:J9"/>
    <mergeCell ref="A57:J57"/>
    <mergeCell ref="I49:K49"/>
    <mergeCell ref="I50:K50"/>
    <mergeCell ref="I51:K51"/>
    <mergeCell ref="I52:K52"/>
    <mergeCell ref="K9:L9"/>
    <mergeCell ref="B49:D49"/>
    <mergeCell ref="B50:D50"/>
    <mergeCell ref="B51:D51"/>
    <mergeCell ref="E1:I1"/>
    <mergeCell ref="A2:J2"/>
    <mergeCell ref="A3:J3"/>
    <mergeCell ref="A8:B8"/>
    <mergeCell ref="A5:L5"/>
    <mergeCell ref="H8:L8"/>
  </mergeCells>
  <printOptions horizontalCentered="1"/>
  <pageMargins left="0.70866141732283472" right="0.70866141732283472" top="0.23622047244094491" bottom="0"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K52"/>
  <sheetViews>
    <sheetView view="pageBreakPreview" topLeftCell="A19" zoomScaleNormal="90" zoomScaleSheetLayoutView="100" workbookViewId="0">
      <selection activeCell="C27" sqref="C27:G27"/>
    </sheetView>
  </sheetViews>
  <sheetFormatPr defaultRowHeight="12.75"/>
  <cols>
    <col min="1" max="1" width="8.28515625" customWidth="1"/>
    <col min="2" max="2" width="23.5703125" customWidth="1"/>
    <col min="3" max="3" width="13" customWidth="1"/>
    <col min="4" max="4" width="14.42578125" customWidth="1"/>
    <col min="5" max="5" width="19.28515625" customWidth="1"/>
    <col min="6" max="6" width="15" customWidth="1"/>
    <col min="7" max="7" width="18.85546875" customWidth="1"/>
    <col min="8" max="8" width="19.28515625" customWidth="1"/>
  </cols>
  <sheetData>
    <row r="1" spans="1:8" ht="18">
      <c r="A1" s="911" t="s">
        <v>0</v>
      </c>
      <c r="B1" s="911"/>
      <c r="C1" s="911"/>
      <c r="D1" s="911"/>
      <c r="E1" s="911"/>
      <c r="F1" s="911"/>
      <c r="G1" s="911"/>
      <c r="H1" s="195" t="s">
        <v>252</v>
      </c>
    </row>
    <row r="2" spans="1:8" ht="21">
      <c r="A2" s="912" t="s">
        <v>745</v>
      </c>
      <c r="B2" s="912"/>
      <c r="C2" s="912"/>
      <c r="D2" s="912"/>
      <c r="E2" s="912"/>
      <c r="F2" s="912"/>
      <c r="G2" s="912"/>
      <c r="H2" s="912"/>
    </row>
    <row r="3" spans="1:8" ht="15">
      <c r="A3" s="197"/>
      <c r="B3" s="197"/>
    </row>
    <row r="4" spans="1:8" ht="18" customHeight="1">
      <c r="A4" s="913" t="s">
        <v>797</v>
      </c>
      <c r="B4" s="913"/>
      <c r="C4" s="913"/>
      <c r="D4" s="913"/>
      <c r="E4" s="913"/>
      <c r="F4" s="913"/>
      <c r="G4" s="913"/>
      <c r="H4" s="913"/>
    </row>
    <row r="5" spans="1:8" ht="15">
      <c r="A5" s="198" t="s">
        <v>911</v>
      </c>
      <c r="B5" s="198"/>
    </row>
    <row r="6" spans="1:8" ht="15">
      <c r="A6" s="198"/>
      <c r="B6" s="198"/>
      <c r="G6" s="914" t="s">
        <v>831</v>
      </c>
      <c r="H6" s="914"/>
    </row>
    <row r="7" spans="1:8" ht="59.25" customHeight="1">
      <c r="A7" s="322" t="s">
        <v>2</v>
      </c>
      <c r="B7" s="322" t="s">
        <v>3</v>
      </c>
      <c r="C7" s="200" t="s">
        <v>254</v>
      </c>
      <c r="D7" s="200" t="s">
        <v>255</v>
      </c>
      <c r="E7" s="200" t="s">
        <v>256</v>
      </c>
      <c r="F7" s="200" t="s">
        <v>257</v>
      </c>
      <c r="G7" s="200" t="s">
        <v>258</v>
      </c>
      <c r="H7" s="200" t="s">
        <v>259</v>
      </c>
    </row>
    <row r="8" spans="1:8" s="195" customFormat="1" ht="15">
      <c r="A8" s="201" t="s">
        <v>260</v>
      </c>
      <c r="B8" s="201" t="s">
        <v>261</v>
      </c>
      <c r="C8" s="201" t="s">
        <v>262</v>
      </c>
      <c r="D8" s="201" t="s">
        <v>263</v>
      </c>
      <c r="E8" s="201" t="s">
        <v>264</v>
      </c>
      <c r="F8" s="201" t="s">
        <v>265</v>
      </c>
      <c r="G8" s="201" t="s">
        <v>266</v>
      </c>
      <c r="H8" s="201" t="s">
        <v>267</v>
      </c>
    </row>
    <row r="9" spans="1:8">
      <c r="A9" s="8">
        <v>1</v>
      </c>
      <c r="B9" s="731" t="s">
        <v>961</v>
      </c>
      <c r="C9" s="547">
        <v>236</v>
      </c>
      <c r="D9" s="547">
        <v>191</v>
      </c>
      <c r="E9" s="547">
        <v>403</v>
      </c>
      <c r="F9" s="547">
        <v>830</v>
      </c>
      <c r="G9" s="547">
        <v>830</v>
      </c>
      <c r="H9" s="537"/>
    </row>
    <row r="10" spans="1:8">
      <c r="A10" s="8">
        <v>2</v>
      </c>
      <c r="B10" s="731" t="s">
        <v>962</v>
      </c>
      <c r="C10" s="547">
        <v>408</v>
      </c>
      <c r="D10" s="547">
        <v>250</v>
      </c>
      <c r="E10" s="547">
        <v>625</v>
      </c>
      <c r="F10" s="547">
        <v>1283</v>
      </c>
      <c r="G10" s="547">
        <v>1283</v>
      </c>
      <c r="H10" s="537"/>
    </row>
    <row r="11" spans="1:8">
      <c r="A11" s="8">
        <v>3</v>
      </c>
      <c r="B11" s="731" t="s">
        <v>963</v>
      </c>
      <c r="C11" s="547">
        <v>811</v>
      </c>
      <c r="D11" s="547">
        <v>324</v>
      </c>
      <c r="E11" s="547">
        <v>895</v>
      </c>
      <c r="F11" s="547">
        <v>2030</v>
      </c>
      <c r="G11" s="547">
        <v>2030</v>
      </c>
      <c r="H11" s="537"/>
    </row>
    <row r="12" spans="1:8">
      <c r="A12" s="8">
        <v>4</v>
      </c>
      <c r="B12" s="731" t="s">
        <v>964</v>
      </c>
      <c r="C12" s="548">
        <v>504</v>
      </c>
      <c r="D12" s="548">
        <v>312</v>
      </c>
      <c r="E12" s="548">
        <v>713</v>
      </c>
      <c r="F12" s="548">
        <v>1529</v>
      </c>
      <c r="G12" s="548">
        <v>1529</v>
      </c>
      <c r="H12" s="537"/>
    </row>
    <row r="13" spans="1:8">
      <c r="A13" s="8">
        <v>5</v>
      </c>
      <c r="B13" s="731" t="s">
        <v>1009</v>
      </c>
      <c r="C13" s="548">
        <v>910</v>
      </c>
      <c r="D13" s="548">
        <v>306</v>
      </c>
      <c r="E13" s="548">
        <v>1038</v>
      </c>
      <c r="F13" s="548">
        <v>2254</v>
      </c>
      <c r="G13" s="548">
        <v>2254</v>
      </c>
      <c r="H13" s="537"/>
    </row>
    <row r="14" spans="1:8">
      <c r="A14" s="8">
        <v>6</v>
      </c>
      <c r="B14" s="731" t="s">
        <v>965</v>
      </c>
      <c r="C14" s="547">
        <v>641</v>
      </c>
      <c r="D14" s="547">
        <v>113</v>
      </c>
      <c r="E14" s="547">
        <v>449</v>
      </c>
      <c r="F14" s="547">
        <v>1203</v>
      </c>
      <c r="G14" s="547">
        <v>1203</v>
      </c>
      <c r="H14" s="537"/>
    </row>
    <row r="15" spans="1:8">
      <c r="A15" s="8">
        <v>7</v>
      </c>
      <c r="B15" s="731" t="s">
        <v>966</v>
      </c>
      <c r="C15" s="548">
        <v>792</v>
      </c>
      <c r="D15" s="548">
        <v>184</v>
      </c>
      <c r="E15" s="548">
        <v>471</v>
      </c>
      <c r="F15" s="548">
        <v>1447</v>
      </c>
      <c r="G15" s="548">
        <v>1447</v>
      </c>
      <c r="H15" s="537"/>
    </row>
    <row r="16" spans="1:8">
      <c r="A16" s="8">
        <v>8</v>
      </c>
      <c r="B16" s="731" t="s">
        <v>967</v>
      </c>
      <c r="C16" s="548">
        <v>1173</v>
      </c>
      <c r="D16" s="548">
        <v>182</v>
      </c>
      <c r="E16" s="548">
        <v>663</v>
      </c>
      <c r="F16" s="548">
        <v>2018</v>
      </c>
      <c r="G16" s="548">
        <v>2018</v>
      </c>
      <c r="H16" s="537"/>
    </row>
    <row r="17" spans="1:8">
      <c r="A17" s="8">
        <v>9</v>
      </c>
      <c r="B17" s="731" t="s">
        <v>968</v>
      </c>
      <c r="C17" s="547">
        <v>911</v>
      </c>
      <c r="D17" s="547">
        <v>164</v>
      </c>
      <c r="E17" s="547">
        <v>561</v>
      </c>
      <c r="F17" s="547">
        <v>1636</v>
      </c>
      <c r="G17" s="547">
        <v>1636</v>
      </c>
      <c r="H17" s="537"/>
    </row>
    <row r="18" spans="1:8">
      <c r="A18" s="8">
        <v>10</v>
      </c>
      <c r="B18" s="731" t="s">
        <v>970</v>
      </c>
      <c r="C18" s="548">
        <v>1269</v>
      </c>
      <c r="D18" s="548">
        <v>343</v>
      </c>
      <c r="E18" s="548">
        <v>787</v>
      </c>
      <c r="F18" s="548">
        <v>2399</v>
      </c>
      <c r="G18" s="548">
        <v>2399</v>
      </c>
      <c r="H18" s="537"/>
    </row>
    <row r="19" spans="1:8">
      <c r="A19" s="8">
        <v>11</v>
      </c>
      <c r="B19" s="731" t="s">
        <v>969</v>
      </c>
      <c r="C19" s="548">
        <v>726</v>
      </c>
      <c r="D19" s="548">
        <v>209</v>
      </c>
      <c r="E19" s="548">
        <v>538</v>
      </c>
      <c r="F19" s="548">
        <v>1473</v>
      </c>
      <c r="G19" s="548">
        <v>1473</v>
      </c>
      <c r="H19" s="537"/>
    </row>
    <row r="20" spans="1:8">
      <c r="A20" s="8">
        <v>12</v>
      </c>
      <c r="B20" s="731" t="s">
        <v>1008</v>
      </c>
      <c r="C20" s="548">
        <v>946</v>
      </c>
      <c r="D20" s="548">
        <v>361</v>
      </c>
      <c r="E20" s="548">
        <v>1072</v>
      </c>
      <c r="F20" s="548">
        <v>2379</v>
      </c>
      <c r="G20" s="548">
        <v>2379</v>
      </c>
      <c r="H20" s="537"/>
    </row>
    <row r="21" spans="1:8">
      <c r="A21" s="8">
        <v>13</v>
      </c>
      <c r="B21" s="731" t="s">
        <v>1007</v>
      </c>
      <c r="C21" s="548">
        <v>778</v>
      </c>
      <c r="D21" s="548">
        <v>317</v>
      </c>
      <c r="E21" s="548">
        <v>869</v>
      </c>
      <c r="F21" s="548">
        <v>1964</v>
      </c>
      <c r="G21" s="548">
        <v>1964</v>
      </c>
      <c r="H21" s="549"/>
    </row>
    <row r="22" spans="1:8">
      <c r="A22" s="8">
        <v>14</v>
      </c>
      <c r="B22" s="731" t="s">
        <v>971</v>
      </c>
      <c r="C22" s="547">
        <v>341</v>
      </c>
      <c r="D22" s="547">
        <v>146</v>
      </c>
      <c r="E22" s="547">
        <v>439</v>
      </c>
      <c r="F22" s="547">
        <v>926</v>
      </c>
      <c r="G22" s="547">
        <v>926</v>
      </c>
      <c r="H22" s="537"/>
    </row>
    <row r="23" spans="1:8">
      <c r="A23" s="8">
        <v>15</v>
      </c>
      <c r="B23" s="731" t="s">
        <v>1006</v>
      </c>
      <c r="C23" s="548">
        <v>124</v>
      </c>
      <c r="D23" s="548">
        <v>95</v>
      </c>
      <c r="E23" s="548">
        <v>266</v>
      </c>
      <c r="F23" s="548">
        <v>485</v>
      </c>
      <c r="G23" s="548">
        <v>485</v>
      </c>
      <c r="H23" s="537"/>
    </row>
    <row r="24" spans="1:8">
      <c r="A24" s="8">
        <v>16</v>
      </c>
      <c r="B24" s="731" t="s">
        <v>1004</v>
      </c>
      <c r="C24" s="548">
        <v>1247</v>
      </c>
      <c r="D24" s="548">
        <v>384</v>
      </c>
      <c r="E24" s="548">
        <v>1010</v>
      </c>
      <c r="F24" s="548">
        <v>2641</v>
      </c>
      <c r="G24" s="548">
        <v>2641</v>
      </c>
      <c r="H24" s="537"/>
    </row>
    <row r="25" spans="1:8">
      <c r="A25" s="8">
        <v>17</v>
      </c>
      <c r="B25" s="731" t="s">
        <v>1001</v>
      </c>
      <c r="C25" s="547">
        <v>672</v>
      </c>
      <c r="D25" s="547">
        <v>221</v>
      </c>
      <c r="E25" s="547">
        <v>687</v>
      </c>
      <c r="F25" s="547">
        <v>1580</v>
      </c>
      <c r="G25" s="547">
        <v>1580</v>
      </c>
      <c r="H25" s="537"/>
    </row>
    <row r="26" spans="1:8" ht="38.25">
      <c r="A26" s="8">
        <v>18</v>
      </c>
      <c r="B26" s="731" t="s">
        <v>1002</v>
      </c>
      <c r="C26" s="548">
        <v>254</v>
      </c>
      <c r="D26" s="548">
        <v>288</v>
      </c>
      <c r="E26" s="548">
        <v>855</v>
      </c>
      <c r="F26" s="548">
        <v>1397</v>
      </c>
      <c r="G26" s="548">
        <v>1395</v>
      </c>
      <c r="H26" s="549" t="s">
        <v>946</v>
      </c>
    </row>
    <row r="27" spans="1:8">
      <c r="A27" s="8">
        <v>19</v>
      </c>
      <c r="B27" s="731" t="s">
        <v>1010</v>
      </c>
      <c r="C27" s="548">
        <v>234</v>
      </c>
      <c r="D27" s="548">
        <v>181</v>
      </c>
      <c r="E27" s="548">
        <v>525</v>
      </c>
      <c r="F27" s="548">
        <v>940</v>
      </c>
      <c r="G27" s="548">
        <v>940</v>
      </c>
      <c r="H27" s="537"/>
    </row>
    <row r="28" spans="1:8">
      <c r="A28" s="8">
        <v>20</v>
      </c>
      <c r="B28" s="731" t="s">
        <v>1003</v>
      </c>
      <c r="C28" s="548">
        <v>226</v>
      </c>
      <c r="D28" s="548">
        <v>217</v>
      </c>
      <c r="E28" s="548">
        <v>638</v>
      </c>
      <c r="F28" s="548">
        <v>1081</v>
      </c>
      <c r="G28" s="548">
        <v>1081</v>
      </c>
      <c r="H28" s="537"/>
    </row>
    <row r="29" spans="1:8">
      <c r="A29" s="8">
        <v>21</v>
      </c>
      <c r="B29" s="731" t="s">
        <v>1012</v>
      </c>
      <c r="C29" s="548">
        <v>460</v>
      </c>
      <c r="D29" s="548">
        <v>132</v>
      </c>
      <c r="E29" s="548">
        <v>492</v>
      </c>
      <c r="F29" s="548">
        <v>1084</v>
      </c>
      <c r="G29" s="548">
        <v>1084</v>
      </c>
      <c r="H29" s="537"/>
    </row>
    <row r="30" spans="1:8">
      <c r="A30" s="8">
        <v>22</v>
      </c>
      <c r="B30" s="731" t="s">
        <v>1011</v>
      </c>
      <c r="C30" s="548">
        <v>612</v>
      </c>
      <c r="D30" s="548">
        <v>129</v>
      </c>
      <c r="E30" s="548">
        <v>519</v>
      </c>
      <c r="F30" s="548">
        <v>1260</v>
      </c>
      <c r="G30" s="548">
        <v>1260</v>
      </c>
      <c r="H30" s="537"/>
    </row>
    <row r="31" spans="1:8">
      <c r="A31" s="8">
        <v>23</v>
      </c>
      <c r="B31" s="731" t="s">
        <v>1005</v>
      </c>
      <c r="C31" s="548">
        <v>455</v>
      </c>
      <c r="D31" s="548">
        <v>299</v>
      </c>
      <c r="E31" s="548">
        <v>766</v>
      </c>
      <c r="F31" s="548">
        <v>1520</v>
      </c>
      <c r="G31" s="548">
        <v>1520</v>
      </c>
      <c r="H31" s="537"/>
    </row>
    <row r="32" spans="1:8">
      <c r="A32" s="8">
        <v>24</v>
      </c>
      <c r="B32" s="731" t="s">
        <v>972</v>
      </c>
      <c r="C32" s="548">
        <v>190</v>
      </c>
      <c r="D32" s="548">
        <v>189</v>
      </c>
      <c r="E32" s="548">
        <v>473</v>
      </c>
      <c r="F32" s="548">
        <v>852</v>
      </c>
      <c r="G32" s="548">
        <v>852</v>
      </c>
      <c r="H32" s="537"/>
    </row>
    <row r="33" spans="1:8">
      <c r="A33" s="8">
        <v>25</v>
      </c>
      <c r="B33" s="731" t="s">
        <v>999</v>
      </c>
      <c r="C33" s="547">
        <v>551</v>
      </c>
      <c r="D33" s="547">
        <v>354</v>
      </c>
      <c r="E33" s="547">
        <v>891</v>
      </c>
      <c r="F33" s="547">
        <v>1796</v>
      </c>
      <c r="G33" s="547">
        <v>1796</v>
      </c>
      <c r="H33" s="537"/>
    </row>
    <row r="34" spans="1:8">
      <c r="A34" s="8">
        <v>26</v>
      </c>
      <c r="B34" s="731" t="s">
        <v>973</v>
      </c>
      <c r="C34" s="547">
        <v>742</v>
      </c>
      <c r="D34" s="547">
        <v>308</v>
      </c>
      <c r="E34" s="547">
        <v>1198</v>
      </c>
      <c r="F34" s="547">
        <v>2248</v>
      </c>
      <c r="G34" s="547">
        <v>2248</v>
      </c>
      <c r="H34" s="537"/>
    </row>
    <row r="35" spans="1:8">
      <c r="A35" s="8">
        <v>27</v>
      </c>
      <c r="B35" s="731" t="s">
        <v>974</v>
      </c>
      <c r="C35" s="547">
        <v>470</v>
      </c>
      <c r="D35" s="547">
        <v>281</v>
      </c>
      <c r="E35" s="547">
        <v>930</v>
      </c>
      <c r="F35" s="547">
        <v>1681</v>
      </c>
      <c r="G35" s="547">
        <v>1681</v>
      </c>
      <c r="H35" s="537"/>
    </row>
    <row r="36" spans="1:8">
      <c r="A36" s="8">
        <v>28</v>
      </c>
      <c r="B36" s="731" t="s">
        <v>975</v>
      </c>
      <c r="C36" s="548">
        <v>857</v>
      </c>
      <c r="D36" s="548">
        <v>333</v>
      </c>
      <c r="E36" s="548">
        <v>1135</v>
      </c>
      <c r="F36" s="548">
        <v>2325</v>
      </c>
      <c r="G36" s="548">
        <v>2325</v>
      </c>
      <c r="H36" s="537"/>
    </row>
    <row r="37" spans="1:8">
      <c r="A37" s="8">
        <v>29</v>
      </c>
      <c r="B37" s="731" t="s">
        <v>1000</v>
      </c>
      <c r="C37" s="547">
        <v>535</v>
      </c>
      <c r="D37" s="547">
        <v>301</v>
      </c>
      <c r="E37" s="547">
        <v>933</v>
      </c>
      <c r="F37" s="547">
        <v>1769</v>
      </c>
      <c r="G37" s="547">
        <v>1769</v>
      </c>
      <c r="H37" s="537"/>
    </row>
    <row r="38" spans="1:8">
      <c r="A38" s="8">
        <v>30</v>
      </c>
      <c r="B38" s="731" t="s">
        <v>976</v>
      </c>
      <c r="C38" s="547">
        <v>639</v>
      </c>
      <c r="D38" s="547">
        <v>311</v>
      </c>
      <c r="E38" s="547">
        <v>1046</v>
      </c>
      <c r="F38" s="547">
        <v>1996</v>
      </c>
      <c r="G38" s="547">
        <v>1996</v>
      </c>
      <c r="H38" s="537"/>
    </row>
    <row r="39" spans="1:8">
      <c r="A39" s="8">
        <v>31</v>
      </c>
      <c r="B39" s="731" t="s">
        <v>977</v>
      </c>
      <c r="C39" s="548">
        <v>788</v>
      </c>
      <c r="D39" s="548">
        <v>389</v>
      </c>
      <c r="E39" s="548">
        <v>1182</v>
      </c>
      <c r="F39" s="548">
        <v>2359</v>
      </c>
      <c r="G39" s="548">
        <v>2359</v>
      </c>
      <c r="H39" s="537"/>
    </row>
    <row r="40" spans="1:8">
      <c r="A40" s="8">
        <v>32</v>
      </c>
      <c r="B40" s="731" t="s">
        <v>978</v>
      </c>
      <c r="C40" s="548">
        <v>385</v>
      </c>
      <c r="D40" s="548">
        <v>174</v>
      </c>
      <c r="E40" s="548">
        <v>597</v>
      </c>
      <c r="F40" s="548">
        <v>1156</v>
      </c>
      <c r="G40" s="548">
        <v>1156</v>
      </c>
      <c r="H40" s="537"/>
    </row>
    <row r="41" spans="1:8">
      <c r="A41" s="8">
        <v>33</v>
      </c>
      <c r="B41" s="731" t="s">
        <v>979</v>
      </c>
      <c r="C41" s="548">
        <v>679</v>
      </c>
      <c r="D41" s="548">
        <v>216</v>
      </c>
      <c r="E41" s="548">
        <v>824</v>
      </c>
      <c r="F41" s="548">
        <v>1719</v>
      </c>
      <c r="G41" s="548">
        <v>1719</v>
      </c>
      <c r="H41" s="537"/>
    </row>
    <row r="42" spans="1:8">
      <c r="A42" s="8">
        <v>34</v>
      </c>
      <c r="B42" s="731" t="s">
        <v>980</v>
      </c>
      <c r="C42" s="548">
        <v>461</v>
      </c>
      <c r="D42" s="548">
        <v>138</v>
      </c>
      <c r="E42" s="548">
        <v>502</v>
      </c>
      <c r="F42" s="548">
        <v>1101</v>
      </c>
      <c r="G42" s="548">
        <v>1101</v>
      </c>
      <c r="H42" s="537"/>
    </row>
    <row r="43" spans="1:8">
      <c r="A43" s="3" t="s">
        <v>17</v>
      </c>
      <c r="B43" s="543"/>
      <c r="C43" s="399">
        <f>SUM(C9:C42)</f>
        <v>21027</v>
      </c>
      <c r="D43" s="399">
        <f>SUM(D9:D42)</f>
        <v>8342</v>
      </c>
      <c r="E43" s="399">
        <f>SUM(E9:E42)</f>
        <v>24992</v>
      </c>
      <c r="F43" s="399">
        <f>SUM(F9:F42)</f>
        <v>54361</v>
      </c>
      <c r="G43" s="399">
        <f>SUM(G9:G42)</f>
        <v>54359</v>
      </c>
      <c r="H43" s="9"/>
    </row>
    <row r="45" spans="1:8">
      <c r="A45" s="203" t="s">
        <v>268</v>
      </c>
    </row>
    <row r="48" spans="1:8" ht="15" customHeight="1">
      <c r="A48" s="204"/>
      <c r="B48" s="803" t="s">
        <v>906</v>
      </c>
      <c r="C48" s="803"/>
      <c r="D48" s="803"/>
      <c r="E48" s="803"/>
      <c r="F48" s="901" t="s">
        <v>12</v>
      </c>
      <c r="G48" s="901"/>
      <c r="H48" s="901"/>
    </row>
    <row r="49" spans="1:11" ht="15" customHeight="1">
      <c r="A49" s="204"/>
      <c r="B49" s="804" t="s">
        <v>907</v>
      </c>
      <c r="C49" s="804"/>
      <c r="D49" s="804"/>
      <c r="E49" s="804"/>
      <c r="F49" s="901" t="s">
        <v>13</v>
      </c>
      <c r="G49" s="901"/>
      <c r="H49" s="901"/>
    </row>
    <row r="50" spans="1:11" ht="15" customHeight="1">
      <c r="A50" s="204"/>
      <c r="B50" s="804" t="s">
        <v>908</v>
      </c>
      <c r="C50" s="804"/>
      <c r="D50" s="804"/>
      <c r="E50" s="804"/>
      <c r="F50" s="901" t="s">
        <v>87</v>
      </c>
      <c r="G50" s="901"/>
      <c r="H50" s="901"/>
    </row>
    <row r="51" spans="1:11">
      <c r="A51" s="204" t="s">
        <v>11</v>
      </c>
      <c r="C51" s="204"/>
      <c r="D51" s="204"/>
      <c r="E51" s="204"/>
      <c r="F51" s="897" t="s">
        <v>84</v>
      </c>
      <c r="G51" s="897"/>
      <c r="H51" s="206"/>
    </row>
    <row r="52" spans="1:11">
      <c r="A52" s="204"/>
      <c r="B52" s="204"/>
      <c r="C52" s="204"/>
      <c r="D52" s="204"/>
      <c r="E52" s="204"/>
      <c r="F52" s="204"/>
      <c r="G52" s="204"/>
      <c r="H52" s="204"/>
      <c r="I52" s="204"/>
      <c r="J52" s="204"/>
      <c r="K52" s="204"/>
    </row>
  </sheetData>
  <mergeCells count="11">
    <mergeCell ref="F50:H50"/>
    <mergeCell ref="F51:G51"/>
    <mergeCell ref="A1:G1"/>
    <mergeCell ref="A2:H2"/>
    <mergeCell ref="A4:H4"/>
    <mergeCell ref="G6:H6"/>
    <mergeCell ref="F49:H49"/>
    <mergeCell ref="B48:E48"/>
    <mergeCell ref="B49:E49"/>
    <mergeCell ref="B50:E50"/>
    <mergeCell ref="F48:H48"/>
  </mergeCells>
  <printOptions horizontalCentered="1"/>
  <pageMargins left="0.70866141732283472" right="0.70866141732283472" top="0.23622047244094491" bottom="0" header="0.31496062992125984" footer="0.31496062992125984"/>
  <pageSetup paperSize="9" scale="78" orientation="landscape"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S58"/>
  <sheetViews>
    <sheetView view="pageBreakPreview" topLeftCell="A16" zoomScale="85" zoomScaleSheetLayoutView="85" workbookViewId="0">
      <selection activeCell="C32" sqref="C32:M32"/>
    </sheetView>
  </sheetViews>
  <sheetFormatPr defaultRowHeight="12.75"/>
  <cols>
    <col min="1" max="1" width="8" customWidth="1"/>
    <col min="2" max="2" width="27.140625" customWidth="1"/>
    <col min="3" max="3" width="9.7109375" customWidth="1"/>
    <col min="5" max="5" width="9.5703125" customWidth="1"/>
    <col min="6" max="7" width="9.7109375" customWidth="1"/>
    <col min="8" max="8" width="9.85546875" customWidth="1"/>
    <col min="10" max="10" width="10.7109375" customWidth="1"/>
    <col min="11" max="11" width="8.85546875" customWidth="1"/>
    <col min="12" max="12" width="9.85546875" customWidth="1"/>
    <col min="13" max="13" width="8.85546875" customWidth="1"/>
    <col min="14" max="14" width="15.7109375" customWidth="1"/>
  </cols>
  <sheetData>
    <row r="1" spans="1:19" ht="12.75" customHeight="1">
      <c r="D1" s="803"/>
      <c r="E1" s="803"/>
      <c r="F1" s="803"/>
      <c r="G1" s="803"/>
      <c r="H1" s="803"/>
      <c r="I1" s="803"/>
      <c r="L1" s="919" t="s">
        <v>89</v>
      </c>
      <c r="M1" s="919"/>
    </row>
    <row r="2" spans="1:19" ht="15.75">
      <c r="A2" s="847" t="s">
        <v>0</v>
      </c>
      <c r="B2" s="847"/>
      <c r="C2" s="847"/>
      <c r="D2" s="847"/>
      <c r="E2" s="847"/>
      <c r="F2" s="847"/>
      <c r="G2" s="847"/>
      <c r="H2" s="847"/>
      <c r="I2" s="847"/>
      <c r="J2" s="847"/>
      <c r="K2" s="847"/>
      <c r="L2" s="847"/>
      <c r="M2" s="847"/>
    </row>
    <row r="3" spans="1:19" ht="20.25">
      <c r="A3" s="848" t="s">
        <v>745</v>
      </c>
      <c r="B3" s="848"/>
      <c r="C3" s="848"/>
      <c r="D3" s="848"/>
      <c r="E3" s="848"/>
      <c r="F3" s="848"/>
      <c r="G3" s="848"/>
      <c r="H3" s="848"/>
      <c r="I3" s="848"/>
      <c r="J3" s="848"/>
      <c r="K3" s="848"/>
      <c r="L3" s="848"/>
      <c r="M3" s="848"/>
    </row>
    <row r="4" spans="1:19" ht="11.25" customHeight="1"/>
    <row r="5" spans="1:19" ht="15.75">
      <c r="A5" s="847" t="s">
        <v>798</v>
      </c>
      <c r="B5" s="847"/>
      <c r="C5" s="847"/>
      <c r="D5" s="847"/>
      <c r="E5" s="847"/>
      <c r="F5" s="847"/>
      <c r="G5" s="847"/>
      <c r="H5" s="847"/>
      <c r="I5" s="847"/>
      <c r="J5" s="847"/>
      <c r="K5" s="847"/>
      <c r="L5" s="847"/>
      <c r="M5" s="847"/>
    </row>
    <row r="7" spans="1:19">
      <c r="A7" s="850" t="s">
        <v>948</v>
      </c>
      <c r="B7" s="850"/>
      <c r="K7" s="112"/>
    </row>
    <row r="8" spans="1:19">
      <c r="A8" s="29"/>
      <c r="B8" s="29"/>
      <c r="K8" s="101"/>
      <c r="L8" s="916" t="s">
        <v>831</v>
      </c>
      <c r="M8" s="916"/>
      <c r="N8" s="916"/>
    </row>
    <row r="9" spans="1:19" ht="15.75" customHeight="1">
      <c r="A9" s="917" t="s">
        <v>2</v>
      </c>
      <c r="B9" s="917" t="s">
        <v>3</v>
      </c>
      <c r="C9" s="828" t="s">
        <v>4</v>
      </c>
      <c r="D9" s="828"/>
      <c r="E9" s="828"/>
      <c r="F9" s="815"/>
      <c r="G9" s="915"/>
      <c r="H9" s="866" t="s">
        <v>104</v>
      </c>
      <c r="I9" s="866"/>
      <c r="J9" s="866"/>
      <c r="K9" s="866"/>
      <c r="L9" s="866"/>
      <c r="M9" s="917" t="s">
        <v>134</v>
      </c>
      <c r="N9" s="834" t="s">
        <v>135</v>
      </c>
    </row>
    <row r="10" spans="1:19" ht="38.25">
      <c r="A10" s="918"/>
      <c r="B10" s="918"/>
      <c r="C10" s="5" t="s">
        <v>5</v>
      </c>
      <c r="D10" s="5" t="s">
        <v>6</v>
      </c>
      <c r="E10" s="5" t="s">
        <v>357</v>
      </c>
      <c r="F10" s="7" t="s">
        <v>102</v>
      </c>
      <c r="G10" s="6" t="s">
        <v>358</v>
      </c>
      <c r="H10" s="5" t="s">
        <v>5</v>
      </c>
      <c r="I10" s="5" t="s">
        <v>6</v>
      </c>
      <c r="J10" s="5" t="s">
        <v>357</v>
      </c>
      <c r="K10" s="7" t="s">
        <v>102</v>
      </c>
      <c r="L10" s="7" t="s">
        <v>359</v>
      </c>
      <c r="M10" s="918"/>
      <c r="N10" s="834"/>
      <c r="R10" s="12"/>
      <c r="S10" s="12"/>
    </row>
    <row r="11" spans="1:19" s="14" customFormat="1">
      <c r="A11" s="5">
        <v>1</v>
      </c>
      <c r="B11" s="5">
        <v>2</v>
      </c>
      <c r="C11" s="5">
        <v>3</v>
      </c>
      <c r="D11" s="5">
        <v>4</v>
      </c>
      <c r="E11" s="5">
        <v>5</v>
      </c>
      <c r="F11" s="5">
        <v>6</v>
      </c>
      <c r="G11" s="5">
        <v>7</v>
      </c>
      <c r="H11" s="5">
        <v>8</v>
      </c>
      <c r="I11" s="5">
        <v>9</v>
      </c>
      <c r="J11" s="5">
        <v>10</v>
      </c>
      <c r="K11" s="5">
        <v>11</v>
      </c>
      <c r="L11" s="5">
        <v>12</v>
      </c>
      <c r="M11" s="5">
        <v>13</v>
      </c>
      <c r="N11" s="5">
        <v>14</v>
      </c>
    </row>
    <row r="12" spans="1:19">
      <c r="A12" s="8">
        <v>1</v>
      </c>
      <c r="B12" s="731" t="s">
        <v>961</v>
      </c>
      <c r="C12" s="537">
        <v>225</v>
      </c>
      <c r="D12" s="537">
        <v>11</v>
      </c>
      <c r="E12" s="537">
        <v>0</v>
      </c>
      <c r="F12" s="537">
        <v>0</v>
      </c>
      <c r="G12" s="537">
        <v>236</v>
      </c>
      <c r="H12" s="537">
        <v>225</v>
      </c>
      <c r="I12" s="537">
        <v>11</v>
      </c>
      <c r="J12" s="537">
        <v>0</v>
      </c>
      <c r="K12" s="537">
        <v>0</v>
      </c>
      <c r="L12" s="537">
        <v>236</v>
      </c>
      <c r="M12" s="9">
        <f t="shared" ref="M12:M45" si="0">G12-L12</f>
        <v>0</v>
      </c>
      <c r="N12" s="9"/>
    </row>
    <row r="13" spans="1:19">
      <c r="A13" s="8">
        <v>2</v>
      </c>
      <c r="B13" s="731" t="s">
        <v>962</v>
      </c>
      <c r="C13" s="537">
        <v>400</v>
      </c>
      <c r="D13" s="537">
        <v>7</v>
      </c>
      <c r="E13" s="537">
        <v>0</v>
      </c>
      <c r="F13" s="537">
        <v>1</v>
      </c>
      <c r="G13" s="537">
        <v>408</v>
      </c>
      <c r="H13" s="537">
        <v>400</v>
      </c>
      <c r="I13" s="537">
        <v>7</v>
      </c>
      <c r="J13" s="537">
        <v>0</v>
      </c>
      <c r="K13" s="537">
        <v>1</v>
      </c>
      <c r="L13" s="537">
        <v>408</v>
      </c>
      <c r="M13" s="9">
        <f t="shared" si="0"/>
        <v>0</v>
      </c>
      <c r="N13" s="9"/>
    </row>
    <row r="14" spans="1:19">
      <c r="A14" s="8">
        <v>3</v>
      </c>
      <c r="B14" s="731" t="s">
        <v>963</v>
      </c>
      <c r="C14" s="537">
        <v>806</v>
      </c>
      <c r="D14" s="537">
        <v>5</v>
      </c>
      <c r="E14" s="537">
        <v>0</v>
      </c>
      <c r="F14" s="537">
        <v>0</v>
      </c>
      <c r="G14" s="537">
        <v>811</v>
      </c>
      <c r="H14" s="537">
        <v>806</v>
      </c>
      <c r="I14" s="537">
        <v>5</v>
      </c>
      <c r="J14" s="537">
        <v>0</v>
      </c>
      <c r="K14" s="537">
        <v>0</v>
      </c>
      <c r="L14" s="537">
        <v>811</v>
      </c>
      <c r="M14" s="9">
        <f t="shared" si="0"/>
        <v>0</v>
      </c>
      <c r="N14" s="9"/>
    </row>
    <row r="15" spans="1:19">
      <c r="A15" s="8">
        <v>4</v>
      </c>
      <c r="B15" s="731" t="s">
        <v>964</v>
      </c>
      <c r="C15" s="537">
        <v>496</v>
      </c>
      <c r="D15" s="537">
        <v>8</v>
      </c>
      <c r="E15" s="537">
        <v>0</v>
      </c>
      <c r="F15" s="537">
        <v>0</v>
      </c>
      <c r="G15" s="537">
        <v>504</v>
      </c>
      <c r="H15" s="537">
        <v>496</v>
      </c>
      <c r="I15" s="537">
        <v>8</v>
      </c>
      <c r="J15" s="537">
        <v>0</v>
      </c>
      <c r="K15" s="537">
        <v>0</v>
      </c>
      <c r="L15" s="537">
        <v>504</v>
      </c>
      <c r="M15" s="9">
        <f t="shared" si="0"/>
        <v>0</v>
      </c>
      <c r="N15" s="9"/>
    </row>
    <row r="16" spans="1:19">
      <c r="A16" s="8">
        <v>5</v>
      </c>
      <c r="B16" s="731" t="s">
        <v>1009</v>
      </c>
      <c r="C16" s="537">
        <v>906</v>
      </c>
      <c r="D16" s="537">
        <v>4</v>
      </c>
      <c r="E16" s="537">
        <v>0</v>
      </c>
      <c r="F16" s="537">
        <v>0</v>
      </c>
      <c r="G16" s="537">
        <v>910</v>
      </c>
      <c r="H16" s="537">
        <v>906</v>
      </c>
      <c r="I16" s="537">
        <v>4</v>
      </c>
      <c r="J16" s="537">
        <v>0</v>
      </c>
      <c r="K16" s="537">
        <v>0</v>
      </c>
      <c r="L16" s="537">
        <v>910</v>
      </c>
      <c r="M16" s="9">
        <f t="shared" si="0"/>
        <v>0</v>
      </c>
      <c r="N16" s="9"/>
    </row>
    <row r="17" spans="1:14">
      <c r="A17" s="8">
        <v>6</v>
      </c>
      <c r="B17" s="731" t="s">
        <v>965</v>
      </c>
      <c r="C17" s="537">
        <v>641</v>
      </c>
      <c r="D17" s="537">
        <v>0</v>
      </c>
      <c r="E17" s="537">
        <v>0</v>
      </c>
      <c r="F17" s="537">
        <v>0</v>
      </c>
      <c r="G17" s="537">
        <v>641</v>
      </c>
      <c r="H17" s="537">
        <v>641</v>
      </c>
      <c r="I17" s="537">
        <v>0</v>
      </c>
      <c r="J17" s="537">
        <v>0</v>
      </c>
      <c r="K17" s="537">
        <v>0</v>
      </c>
      <c r="L17" s="537">
        <v>641</v>
      </c>
      <c r="M17" s="9">
        <f t="shared" si="0"/>
        <v>0</v>
      </c>
      <c r="N17" s="9"/>
    </row>
    <row r="18" spans="1:14">
      <c r="A18" s="8">
        <v>7</v>
      </c>
      <c r="B18" s="731" t="s">
        <v>966</v>
      </c>
      <c r="C18" s="537">
        <v>791</v>
      </c>
      <c r="D18" s="537">
        <v>1</v>
      </c>
      <c r="E18" s="537">
        <v>0</v>
      </c>
      <c r="F18" s="537">
        <v>0</v>
      </c>
      <c r="G18" s="537">
        <v>792</v>
      </c>
      <c r="H18" s="537">
        <v>791</v>
      </c>
      <c r="I18" s="537">
        <v>1</v>
      </c>
      <c r="J18" s="537">
        <v>0</v>
      </c>
      <c r="K18" s="537">
        <v>0</v>
      </c>
      <c r="L18" s="537">
        <v>792</v>
      </c>
      <c r="M18" s="9">
        <f t="shared" si="0"/>
        <v>0</v>
      </c>
      <c r="N18" s="9"/>
    </row>
    <row r="19" spans="1:14">
      <c r="A19" s="8">
        <v>8</v>
      </c>
      <c r="B19" s="731" t="s">
        <v>967</v>
      </c>
      <c r="C19" s="537">
        <v>1173</v>
      </c>
      <c r="D19" s="537">
        <v>0</v>
      </c>
      <c r="E19" s="537">
        <v>0</v>
      </c>
      <c r="F19" s="537">
        <v>0</v>
      </c>
      <c r="G19" s="537">
        <v>1173</v>
      </c>
      <c r="H19" s="537">
        <v>1173</v>
      </c>
      <c r="I19" s="537">
        <v>0</v>
      </c>
      <c r="J19" s="537">
        <v>0</v>
      </c>
      <c r="K19" s="537">
        <v>0</v>
      </c>
      <c r="L19" s="537">
        <v>1173</v>
      </c>
      <c r="M19" s="9">
        <f t="shared" si="0"/>
        <v>0</v>
      </c>
      <c r="N19" s="9"/>
    </row>
    <row r="20" spans="1:14">
      <c r="A20" s="8">
        <v>9</v>
      </c>
      <c r="B20" s="731" t="s">
        <v>968</v>
      </c>
      <c r="C20" s="537">
        <v>910</v>
      </c>
      <c r="D20" s="537">
        <v>1</v>
      </c>
      <c r="E20" s="537">
        <v>0</v>
      </c>
      <c r="F20" s="537">
        <v>0</v>
      </c>
      <c r="G20" s="537">
        <v>911</v>
      </c>
      <c r="H20" s="537">
        <v>910</v>
      </c>
      <c r="I20" s="537">
        <v>1</v>
      </c>
      <c r="J20" s="537">
        <v>0</v>
      </c>
      <c r="K20" s="537">
        <v>0</v>
      </c>
      <c r="L20" s="537">
        <v>911</v>
      </c>
      <c r="M20" s="9">
        <f t="shared" si="0"/>
        <v>0</v>
      </c>
      <c r="N20" s="9"/>
    </row>
    <row r="21" spans="1:14">
      <c r="A21" s="8">
        <v>10</v>
      </c>
      <c r="B21" s="731" t="s">
        <v>970</v>
      </c>
      <c r="C21" s="537">
        <v>1267</v>
      </c>
      <c r="D21" s="537">
        <v>2</v>
      </c>
      <c r="E21" s="537">
        <v>0</v>
      </c>
      <c r="F21" s="537">
        <v>0</v>
      </c>
      <c r="G21" s="537">
        <v>1269</v>
      </c>
      <c r="H21" s="537">
        <v>1267</v>
      </c>
      <c r="I21" s="537">
        <v>2</v>
      </c>
      <c r="J21" s="537">
        <v>0</v>
      </c>
      <c r="K21" s="537">
        <v>0</v>
      </c>
      <c r="L21" s="537">
        <v>1269</v>
      </c>
      <c r="M21" s="9">
        <f t="shared" si="0"/>
        <v>0</v>
      </c>
      <c r="N21" s="9"/>
    </row>
    <row r="22" spans="1:14" ht="17.25" customHeight="1">
      <c r="A22" s="8">
        <v>11</v>
      </c>
      <c r="B22" s="731" t="s">
        <v>969</v>
      </c>
      <c r="C22" s="537">
        <v>726</v>
      </c>
      <c r="D22" s="537">
        <v>0</v>
      </c>
      <c r="E22" s="537">
        <v>0</v>
      </c>
      <c r="F22" s="537">
        <v>0</v>
      </c>
      <c r="G22" s="537">
        <v>726</v>
      </c>
      <c r="H22" s="537">
        <v>726</v>
      </c>
      <c r="I22" s="537">
        <v>0</v>
      </c>
      <c r="J22" s="537">
        <v>0</v>
      </c>
      <c r="K22" s="537">
        <v>0</v>
      </c>
      <c r="L22" s="537">
        <v>726</v>
      </c>
      <c r="M22" s="9">
        <f t="shared" si="0"/>
        <v>0</v>
      </c>
      <c r="N22" s="9"/>
    </row>
    <row r="23" spans="1:14">
      <c r="A23" s="8">
        <v>12</v>
      </c>
      <c r="B23" s="731" t="s">
        <v>1008</v>
      </c>
      <c r="C23" s="537">
        <v>936</v>
      </c>
      <c r="D23" s="537">
        <v>10</v>
      </c>
      <c r="E23" s="537">
        <v>0</v>
      </c>
      <c r="F23" s="537">
        <v>0</v>
      </c>
      <c r="G23" s="537">
        <v>946</v>
      </c>
      <c r="H23" s="537">
        <v>936</v>
      </c>
      <c r="I23" s="537">
        <v>10</v>
      </c>
      <c r="J23" s="537">
        <v>0</v>
      </c>
      <c r="K23" s="537">
        <v>0</v>
      </c>
      <c r="L23" s="537">
        <v>946</v>
      </c>
      <c r="M23" s="9">
        <f t="shared" si="0"/>
        <v>0</v>
      </c>
      <c r="N23" s="9"/>
    </row>
    <row r="24" spans="1:14">
      <c r="A24" s="8">
        <v>13</v>
      </c>
      <c r="B24" s="731" t="s">
        <v>1007</v>
      </c>
      <c r="C24" s="537">
        <v>775</v>
      </c>
      <c r="D24" s="537">
        <v>3</v>
      </c>
      <c r="E24" s="537">
        <v>0</v>
      </c>
      <c r="F24" s="537">
        <v>0</v>
      </c>
      <c r="G24" s="537">
        <v>778</v>
      </c>
      <c r="H24" s="537">
        <v>775</v>
      </c>
      <c r="I24" s="537">
        <v>3</v>
      </c>
      <c r="J24" s="537">
        <v>0</v>
      </c>
      <c r="K24" s="537">
        <v>0</v>
      </c>
      <c r="L24" s="537">
        <v>778</v>
      </c>
      <c r="M24" s="9">
        <f t="shared" si="0"/>
        <v>0</v>
      </c>
      <c r="N24" s="9"/>
    </row>
    <row r="25" spans="1:14">
      <c r="A25" s="8">
        <v>14</v>
      </c>
      <c r="B25" s="731" t="s">
        <v>971</v>
      </c>
      <c r="C25" s="537">
        <v>334</v>
      </c>
      <c r="D25" s="537">
        <v>7</v>
      </c>
      <c r="E25" s="537">
        <v>0</v>
      </c>
      <c r="F25" s="537">
        <v>0</v>
      </c>
      <c r="G25" s="537">
        <v>341</v>
      </c>
      <c r="H25" s="537">
        <v>334</v>
      </c>
      <c r="I25" s="537">
        <v>7</v>
      </c>
      <c r="J25" s="537">
        <v>0</v>
      </c>
      <c r="K25" s="537">
        <v>0</v>
      </c>
      <c r="L25" s="537">
        <v>341</v>
      </c>
      <c r="M25" s="9">
        <f t="shared" si="0"/>
        <v>0</v>
      </c>
      <c r="N25" s="9"/>
    </row>
    <row r="26" spans="1:14">
      <c r="A26" s="8">
        <v>15</v>
      </c>
      <c r="B26" s="731" t="s">
        <v>1006</v>
      </c>
      <c r="C26" s="537">
        <v>123</v>
      </c>
      <c r="D26" s="537">
        <v>1</v>
      </c>
      <c r="E26" s="537">
        <v>0</v>
      </c>
      <c r="F26" s="537">
        <v>0</v>
      </c>
      <c r="G26" s="537">
        <v>124</v>
      </c>
      <c r="H26" s="537">
        <v>123</v>
      </c>
      <c r="I26" s="537">
        <v>1</v>
      </c>
      <c r="J26" s="537">
        <v>0</v>
      </c>
      <c r="K26" s="537">
        <v>0</v>
      </c>
      <c r="L26" s="537">
        <v>124</v>
      </c>
      <c r="M26" s="9">
        <f t="shared" si="0"/>
        <v>0</v>
      </c>
      <c r="N26" s="9"/>
    </row>
    <row r="27" spans="1:14">
      <c r="A27" s="8">
        <v>16</v>
      </c>
      <c r="B27" s="731" t="s">
        <v>1004</v>
      </c>
      <c r="C27" s="537">
        <v>1246</v>
      </c>
      <c r="D27" s="537">
        <v>1</v>
      </c>
      <c r="E27" s="537">
        <v>0</v>
      </c>
      <c r="F27" s="537">
        <v>0</v>
      </c>
      <c r="G27" s="537">
        <v>1247</v>
      </c>
      <c r="H27" s="537">
        <v>1246</v>
      </c>
      <c r="I27" s="537">
        <v>1</v>
      </c>
      <c r="J27" s="537">
        <v>0</v>
      </c>
      <c r="K27" s="537">
        <v>0</v>
      </c>
      <c r="L27" s="537">
        <v>1247</v>
      </c>
      <c r="M27" s="9">
        <f t="shared" si="0"/>
        <v>0</v>
      </c>
      <c r="N27" s="9"/>
    </row>
    <row r="28" spans="1:14">
      <c r="A28" s="8">
        <v>17</v>
      </c>
      <c r="B28" s="731" t="s">
        <v>1001</v>
      </c>
      <c r="C28" s="537">
        <v>672</v>
      </c>
      <c r="D28" s="537">
        <v>0</v>
      </c>
      <c r="E28" s="537">
        <v>0</v>
      </c>
      <c r="F28" s="537">
        <v>0</v>
      </c>
      <c r="G28" s="537">
        <v>672</v>
      </c>
      <c r="H28" s="537">
        <v>672</v>
      </c>
      <c r="I28" s="537">
        <v>0</v>
      </c>
      <c r="J28" s="537">
        <v>0</v>
      </c>
      <c r="K28" s="537">
        <v>0</v>
      </c>
      <c r="L28" s="537">
        <v>672</v>
      </c>
      <c r="M28" s="9">
        <f t="shared" si="0"/>
        <v>0</v>
      </c>
      <c r="N28" s="9"/>
    </row>
    <row r="29" spans="1:14" ht="51">
      <c r="A29" s="400">
        <v>18</v>
      </c>
      <c r="B29" s="731" t="s">
        <v>1002</v>
      </c>
      <c r="C29" s="468">
        <v>246</v>
      </c>
      <c r="D29" s="468">
        <v>8</v>
      </c>
      <c r="E29" s="537">
        <v>0</v>
      </c>
      <c r="F29" s="468">
        <v>0</v>
      </c>
      <c r="G29" s="468">
        <v>254</v>
      </c>
      <c r="H29" s="468">
        <v>245</v>
      </c>
      <c r="I29" s="468">
        <v>8</v>
      </c>
      <c r="J29" s="537">
        <v>0</v>
      </c>
      <c r="K29" s="468">
        <v>0</v>
      </c>
      <c r="L29" s="468">
        <f>SUM(H29:K29)</f>
        <v>253</v>
      </c>
      <c r="M29" s="541">
        <f t="shared" si="0"/>
        <v>1</v>
      </c>
      <c r="N29" s="542" t="s">
        <v>947</v>
      </c>
    </row>
    <row r="30" spans="1:14">
      <c r="A30" s="8">
        <v>19</v>
      </c>
      <c r="B30" s="731" t="s">
        <v>1010</v>
      </c>
      <c r="C30" s="537">
        <v>226</v>
      </c>
      <c r="D30" s="537">
        <v>8</v>
      </c>
      <c r="E30" s="537">
        <v>0</v>
      </c>
      <c r="F30" s="537">
        <v>0</v>
      </c>
      <c r="G30" s="537">
        <v>234</v>
      </c>
      <c r="H30" s="537">
        <v>226</v>
      </c>
      <c r="I30" s="537">
        <v>8</v>
      </c>
      <c r="J30" s="537">
        <v>0</v>
      </c>
      <c r="K30" s="537">
        <v>0</v>
      </c>
      <c r="L30" s="537">
        <v>234</v>
      </c>
      <c r="M30" s="9">
        <f t="shared" si="0"/>
        <v>0</v>
      </c>
      <c r="N30" s="9"/>
    </row>
    <row r="31" spans="1:14">
      <c r="A31" s="8">
        <v>20</v>
      </c>
      <c r="B31" s="731" t="s">
        <v>1003</v>
      </c>
      <c r="C31" s="537">
        <v>219</v>
      </c>
      <c r="D31" s="537">
        <v>7</v>
      </c>
      <c r="E31" s="537">
        <v>0</v>
      </c>
      <c r="F31" s="537">
        <v>0</v>
      </c>
      <c r="G31" s="537">
        <v>226</v>
      </c>
      <c r="H31" s="537">
        <v>219</v>
      </c>
      <c r="I31" s="537">
        <v>7</v>
      </c>
      <c r="J31" s="537">
        <v>0</v>
      </c>
      <c r="K31" s="537">
        <v>0</v>
      </c>
      <c r="L31" s="537">
        <v>226</v>
      </c>
      <c r="M31" s="9">
        <f t="shared" si="0"/>
        <v>0</v>
      </c>
      <c r="N31" s="9"/>
    </row>
    <row r="32" spans="1:14">
      <c r="A32" s="8">
        <v>21</v>
      </c>
      <c r="B32" s="731" t="s">
        <v>1012</v>
      </c>
      <c r="C32" s="537">
        <v>455</v>
      </c>
      <c r="D32" s="537">
        <v>5</v>
      </c>
      <c r="E32" s="537">
        <v>0</v>
      </c>
      <c r="F32" s="537">
        <v>0</v>
      </c>
      <c r="G32" s="537">
        <v>460</v>
      </c>
      <c r="H32" s="537">
        <v>455</v>
      </c>
      <c r="I32" s="537">
        <v>5</v>
      </c>
      <c r="J32" s="537">
        <v>0</v>
      </c>
      <c r="K32" s="537">
        <v>0</v>
      </c>
      <c r="L32" s="537">
        <v>460</v>
      </c>
      <c r="M32" s="9">
        <f t="shared" si="0"/>
        <v>0</v>
      </c>
      <c r="N32" s="9"/>
    </row>
    <row r="33" spans="1:14">
      <c r="A33" s="8">
        <v>22</v>
      </c>
      <c r="B33" s="731" t="s">
        <v>1011</v>
      </c>
      <c r="C33" s="537">
        <v>611</v>
      </c>
      <c r="D33" s="537">
        <v>1</v>
      </c>
      <c r="E33" s="537">
        <v>0</v>
      </c>
      <c r="F33" s="537">
        <v>0</v>
      </c>
      <c r="G33" s="537">
        <v>612</v>
      </c>
      <c r="H33" s="537">
        <v>611</v>
      </c>
      <c r="I33" s="537">
        <v>1</v>
      </c>
      <c r="J33" s="537">
        <v>0</v>
      </c>
      <c r="K33" s="537">
        <v>0</v>
      </c>
      <c r="L33" s="537">
        <v>612</v>
      </c>
      <c r="M33" s="9">
        <f t="shared" si="0"/>
        <v>0</v>
      </c>
      <c r="N33" s="9"/>
    </row>
    <row r="34" spans="1:14">
      <c r="A34" s="8">
        <v>23</v>
      </c>
      <c r="B34" s="731" t="s">
        <v>1005</v>
      </c>
      <c r="C34" s="537">
        <v>449</v>
      </c>
      <c r="D34" s="537">
        <v>6</v>
      </c>
      <c r="E34" s="537">
        <v>0</v>
      </c>
      <c r="F34" s="537">
        <v>0</v>
      </c>
      <c r="G34" s="537">
        <v>455</v>
      </c>
      <c r="H34" s="537">
        <v>449</v>
      </c>
      <c r="I34" s="537">
        <v>6</v>
      </c>
      <c r="J34" s="537">
        <v>0</v>
      </c>
      <c r="K34" s="537">
        <v>0</v>
      </c>
      <c r="L34" s="537">
        <v>455</v>
      </c>
      <c r="M34" s="401">
        <f t="shared" si="0"/>
        <v>0</v>
      </c>
      <c r="N34" s="35"/>
    </row>
    <row r="35" spans="1:14">
      <c r="A35" s="8">
        <v>24</v>
      </c>
      <c r="B35" s="731" t="s">
        <v>972</v>
      </c>
      <c r="C35" s="537">
        <v>182</v>
      </c>
      <c r="D35" s="537">
        <v>8</v>
      </c>
      <c r="E35" s="537">
        <v>0</v>
      </c>
      <c r="F35" s="537">
        <v>0</v>
      </c>
      <c r="G35" s="537">
        <v>190</v>
      </c>
      <c r="H35" s="537">
        <v>182</v>
      </c>
      <c r="I35" s="537">
        <v>8</v>
      </c>
      <c r="J35" s="537">
        <v>0</v>
      </c>
      <c r="K35" s="537">
        <v>0</v>
      </c>
      <c r="L35" s="537">
        <v>190</v>
      </c>
      <c r="M35" s="9">
        <f t="shared" si="0"/>
        <v>0</v>
      </c>
      <c r="N35" s="9"/>
    </row>
    <row r="36" spans="1:14">
      <c r="A36" s="8">
        <v>25</v>
      </c>
      <c r="B36" s="731" t="s">
        <v>999</v>
      </c>
      <c r="C36" s="537">
        <v>545</v>
      </c>
      <c r="D36" s="537">
        <v>6</v>
      </c>
      <c r="E36" s="537">
        <v>0</v>
      </c>
      <c r="F36" s="537">
        <v>0</v>
      </c>
      <c r="G36" s="537">
        <v>551</v>
      </c>
      <c r="H36" s="537">
        <v>545</v>
      </c>
      <c r="I36" s="537">
        <v>6</v>
      </c>
      <c r="J36" s="537">
        <v>0</v>
      </c>
      <c r="K36" s="537">
        <v>0</v>
      </c>
      <c r="L36" s="537">
        <v>551</v>
      </c>
      <c r="M36" s="9">
        <f t="shared" si="0"/>
        <v>0</v>
      </c>
      <c r="N36" s="9"/>
    </row>
    <row r="37" spans="1:14">
      <c r="A37" s="8">
        <v>26</v>
      </c>
      <c r="B37" s="731" t="s">
        <v>973</v>
      </c>
      <c r="C37" s="537">
        <v>727</v>
      </c>
      <c r="D37" s="537">
        <v>15</v>
      </c>
      <c r="E37" s="537">
        <v>0</v>
      </c>
      <c r="F37" s="537">
        <v>0</v>
      </c>
      <c r="G37" s="537">
        <v>742</v>
      </c>
      <c r="H37" s="537">
        <v>727</v>
      </c>
      <c r="I37" s="537">
        <v>15</v>
      </c>
      <c r="J37" s="537">
        <v>0</v>
      </c>
      <c r="K37" s="537">
        <v>0</v>
      </c>
      <c r="L37" s="537">
        <v>742</v>
      </c>
      <c r="M37" s="9">
        <f t="shared" si="0"/>
        <v>0</v>
      </c>
      <c r="N37" s="9"/>
    </row>
    <row r="38" spans="1:14">
      <c r="A38" s="8">
        <v>27</v>
      </c>
      <c r="B38" s="731" t="s">
        <v>974</v>
      </c>
      <c r="C38" s="537">
        <v>461</v>
      </c>
      <c r="D38" s="537">
        <v>9</v>
      </c>
      <c r="E38" s="537">
        <v>0</v>
      </c>
      <c r="F38" s="537">
        <v>0</v>
      </c>
      <c r="G38" s="537">
        <v>470</v>
      </c>
      <c r="H38" s="537">
        <v>461</v>
      </c>
      <c r="I38" s="537">
        <v>9</v>
      </c>
      <c r="J38" s="537">
        <v>0</v>
      </c>
      <c r="K38" s="537">
        <v>0</v>
      </c>
      <c r="L38" s="537">
        <v>470</v>
      </c>
      <c r="M38" s="9">
        <f t="shared" si="0"/>
        <v>0</v>
      </c>
      <c r="N38" s="9"/>
    </row>
    <row r="39" spans="1:14">
      <c r="A39" s="8">
        <v>28</v>
      </c>
      <c r="B39" s="731" t="s">
        <v>975</v>
      </c>
      <c r="C39" s="537">
        <v>823</v>
      </c>
      <c r="D39" s="537">
        <v>34</v>
      </c>
      <c r="E39" s="537">
        <v>0</v>
      </c>
      <c r="F39" s="537">
        <v>0</v>
      </c>
      <c r="G39" s="537">
        <v>857</v>
      </c>
      <c r="H39" s="537">
        <v>823</v>
      </c>
      <c r="I39" s="537">
        <v>34</v>
      </c>
      <c r="J39" s="537">
        <v>0</v>
      </c>
      <c r="K39" s="537">
        <v>0</v>
      </c>
      <c r="L39" s="537">
        <v>857</v>
      </c>
      <c r="M39" s="9">
        <f t="shared" si="0"/>
        <v>0</v>
      </c>
      <c r="N39" s="9"/>
    </row>
    <row r="40" spans="1:14">
      <c r="A40" s="8">
        <v>29</v>
      </c>
      <c r="B40" s="731" t="s">
        <v>1000</v>
      </c>
      <c r="C40" s="537">
        <v>507</v>
      </c>
      <c r="D40" s="537">
        <v>7</v>
      </c>
      <c r="E40" s="537">
        <v>0</v>
      </c>
      <c r="F40" s="537">
        <v>21</v>
      </c>
      <c r="G40" s="537">
        <v>535</v>
      </c>
      <c r="H40" s="537">
        <v>507</v>
      </c>
      <c r="I40" s="537">
        <v>7</v>
      </c>
      <c r="J40" s="537">
        <v>0</v>
      </c>
      <c r="K40" s="537">
        <v>21</v>
      </c>
      <c r="L40" s="537">
        <v>535</v>
      </c>
      <c r="M40" s="9">
        <f t="shared" si="0"/>
        <v>0</v>
      </c>
      <c r="N40" s="9"/>
    </row>
    <row r="41" spans="1:14">
      <c r="A41" s="8">
        <v>30</v>
      </c>
      <c r="B41" s="731" t="s">
        <v>976</v>
      </c>
      <c r="C41" s="537">
        <v>634</v>
      </c>
      <c r="D41" s="537">
        <v>5</v>
      </c>
      <c r="E41" s="537">
        <v>0</v>
      </c>
      <c r="F41" s="537">
        <v>0</v>
      </c>
      <c r="G41" s="537">
        <v>639</v>
      </c>
      <c r="H41" s="537">
        <v>634</v>
      </c>
      <c r="I41" s="537">
        <v>5</v>
      </c>
      <c r="J41" s="537">
        <v>0</v>
      </c>
      <c r="K41" s="537">
        <v>0</v>
      </c>
      <c r="L41" s="537">
        <v>639</v>
      </c>
      <c r="M41" s="9">
        <f t="shared" si="0"/>
        <v>0</v>
      </c>
      <c r="N41" s="9"/>
    </row>
    <row r="42" spans="1:14">
      <c r="A42" s="8">
        <v>31</v>
      </c>
      <c r="B42" s="731" t="s">
        <v>977</v>
      </c>
      <c r="C42" s="537">
        <v>774</v>
      </c>
      <c r="D42" s="537">
        <v>14</v>
      </c>
      <c r="E42" s="537">
        <v>0</v>
      </c>
      <c r="F42" s="537">
        <v>0</v>
      </c>
      <c r="G42" s="537">
        <v>788</v>
      </c>
      <c r="H42" s="537">
        <v>774</v>
      </c>
      <c r="I42" s="537">
        <v>14</v>
      </c>
      <c r="J42" s="537">
        <v>0</v>
      </c>
      <c r="K42" s="537">
        <v>0</v>
      </c>
      <c r="L42" s="537">
        <v>788</v>
      </c>
      <c r="M42" s="9">
        <f t="shared" si="0"/>
        <v>0</v>
      </c>
      <c r="N42" s="9"/>
    </row>
    <row r="43" spans="1:14">
      <c r="A43" s="8">
        <v>32</v>
      </c>
      <c r="B43" s="731" t="s">
        <v>978</v>
      </c>
      <c r="C43" s="537">
        <v>382</v>
      </c>
      <c r="D43" s="537">
        <v>3</v>
      </c>
      <c r="E43" s="537">
        <v>0</v>
      </c>
      <c r="F43" s="537">
        <v>0</v>
      </c>
      <c r="G43" s="537">
        <v>385</v>
      </c>
      <c r="H43" s="537">
        <v>382</v>
      </c>
      <c r="I43" s="537">
        <v>3</v>
      </c>
      <c r="J43" s="537">
        <v>0</v>
      </c>
      <c r="K43" s="537">
        <v>0</v>
      </c>
      <c r="L43" s="537">
        <v>385</v>
      </c>
      <c r="M43" s="9">
        <f t="shared" si="0"/>
        <v>0</v>
      </c>
      <c r="N43" s="9"/>
    </row>
    <row r="44" spans="1:14">
      <c r="A44" s="8">
        <v>33</v>
      </c>
      <c r="B44" s="731" t="s">
        <v>979</v>
      </c>
      <c r="C44" s="537">
        <v>670</v>
      </c>
      <c r="D44" s="537">
        <v>8</v>
      </c>
      <c r="E44" s="537">
        <v>0</v>
      </c>
      <c r="F44" s="537">
        <v>1</v>
      </c>
      <c r="G44" s="537">
        <v>679</v>
      </c>
      <c r="H44" s="537">
        <v>670</v>
      </c>
      <c r="I44" s="537">
        <v>8</v>
      </c>
      <c r="J44" s="537">
        <v>0</v>
      </c>
      <c r="K44" s="537">
        <v>1</v>
      </c>
      <c r="L44" s="537">
        <v>679</v>
      </c>
      <c r="M44" s="9">
        <f t="shared" si="0"/>
        <v>0</v>
      </c>
      <c r="N44" s="9"/>
    </row>
    <row r="45" spans="1:14">
      <c r="A45" s="8">
        <v>34</v>
      </c>
      <c r="B45" s="731" t="s">
        <v>980</v>
      </c>
      <c r="C45" s="537">
        <v>459</v>
      </c>
      <c r="D45" s="537">
        <v>2</v>
      </c>
      <c r="E45" s="537">
        <v>0</v>
      </c>
      <c r="F45" s="537">
        <v>0</v>
      </c>
      <c r="G45" s="537">
        <v>461</v>
      </c>
      <c r="H45" s="537">
        <v>459</v>
      </c>
      <c r="I45" s="537">
        <v>2</v>
      </c>
      <c r="J45" s="537">
        <v>0</v>
      </c>
      <c r="K45" s="537">
        <v>0</v>
      </c>
      <c r="L45" s="537">
        <v>461</v>
      </c>
      <c r="M45" s="9">
        <f t="shared" si="0"/>
        <v>0</v>
      </c>
      <c r="N45" s="9"/>
    </row>
    <row r="46" spans="1:14">
      <c r="A46" s="3" t="s">
        <v>17</v>
      </c>
      <c r="B46" s="9"/>
      <c r="C46" s="537">
        <f>SUM(C12:C45)</f>
        <v>20797</v>
      </c>
      <c r="D46" s="537">
        <f>SUM(D12:D45)</f>
        <v>207</v>
      </c>
      <c r="E46" s="537">
        <v>0</v>
      </c>
      <c r="F46" s="537">
        <f>SUM(F12:F45)</f>
        <v>23</v>
      </c>
      <c r="G46" s="537">
        <f>SUM(G12:G45)</f>
        <v>21027</v>
      </c>
      <c r="H46" s="537">
        <f>SUM(H12:H45)</f>
        <v>20796</v>
      </c>
      <c r="I46" s="537">
        <f>SUM(I12:I45)</f>
        <v>207</v>
      </c>
      <c r="J46" s="537">
        <v>0</v>
      </c>
      <c r="K46" s="537">
        <f>SUM(K12:K45)</f>
        <v>23</v>
      </c>
      <c r="L46" s="537">
        <f>SUM(L12:L45)</f>
        <v>21026</v>
      </c>
      <c r="M46" s="9">
        <f t="shared" ref="M46" si="1">SUM(M12:M45)</f>
        <v>1</v>
      </c>
      <c r="N46" s="9"/>
    </row>
    <row r="47" spans="1:14">
      <c r="A47" s="11"/>
      <c r="B47" s="12"/>
      <c r="C47" s="12"/>
      <c r="D47" s="12"/>
      <c r="E47" s="12"/>
      <c r="F47" s="12"/>
      <c r="G47" s="12"/>
      <c r="H47" s="12"/>
      <c r="I47" s="12"/>
      <c r="J47" s="12"/>
      <c r="K47" s="12"/>
      <c r="L47" s="12"/>
      <c r="M47" s="12"/>
    </row>
    <row r="48" spans="1:14">
      <c r="A48" s="10" t="s">
        <v>7</v>
      </c>
    </row>
    <row r="49" spans="1:14">
      <c r="A49" t="s">
        <v>8</v>
      </c>
    </row>
    <row r="50" spans="1:14">
      <c r="A50" t="s">
        <v>9</v>
      </c>
      <c r="J50" s="11" t="s">
        <v>10</v>
      </c>
      <c r="K50" s="11"/>
      <c r="L50" s="11" t="s">
        <v>10</v>
      </c>
    </row>
    <row r="51" spans="1:14">
      <c r="A51" s="15" t="s">
        <v>430</v>
      </c>
      <c r="J51" s="11"/>
      <c r="K51" s="11"/>
      <c r="L51" s="11"/>
    </row>
    <row r="52" spans="1:14">
      <c r="C52" s="15" t="s">
        <v>431</v>
      </c>
      <c r="E52" s="12"/>
      <c r="F52" s="12"/>
      <c r="G52" s="12"/>
      <c r="H52" s="12"/>
      <c r="I52" s="12"/>
      <c r="J52" s="12"/>
      <c r="K52" s="12"/>
      <c r="L52" s="12"/>
      <c r="M52" s="12"/>
    </row>
    <row r="53" spans="1:14">
      <c r="C53" s="376"/>
      <c r="E53" s="12"/>
      <c r="F53" s="12"/>
      <c r="G53" s="12"/>
      <c r="H53" s="12"/>
      <c r="I53" s="12"/>
      <c r="J53" s="12"/>
      <c r="K53" s="12"/>
      <c r="L53" s="12"/>
      <c r="M53" s="12"/>
    </row>
    <row r="55" spans="1:14" ht="15.75">
      <c r="A55" s="803" t="s">
        <v>906</v>
      </c>
      <c r="B55" s="803"/>
      <c r="C55" s="803"/>
      <c r="D55" s="803"/>
      <c r="E55" s="13"/>
      <c r="F55" s="13"/>
      <c r="G55" s="13"/>
      <c r="H55" s="804" t="s">
        <v>12</v>
      </c>
      <c r="I55" s="804"/>
      <c r="J55" s="804"/>
      <c r="K55" s="804"/>
      <c r="L55" s="804"/>
      <c r="M55" s="375"/>
      <c r="N55" s="375"/>
    </row>
    <row r="56" spans="1:14" ht="15.75">
      <c r="A56" s="804" t="s">
        <v>907</v>
      </c>
      <c r="B56" s="804"/>
      <c r="C56" s="804"/>
      <c r="D56" s="804"/>
      <c r="E56" s="375"/>
      <c r="F56" s="375"/>
      <c r="G56" s="375"/>
      <c r="H56" s="804" t="s">
        <v>13</v>
      </c>
      <c r="I56" s="804"/>
      <c r="J56" s="804"/>
      <c r="K56" s="804"/>
      <c r="L56" s="804"/>
      <c r="M56" s="375"/>
      <c r="N56" s="375"/>
    </row>
    <row r="57" spans="1:14" ht="15.75">
      <c r="A57" s="804" t="s">
        <v>908</v>
      </c>
      <c r="B57" s="804"/>
      <c r="C57" s="804"/>
      <c r="D57" s="804"/>
      <c r="E57" s="375"/>
      <c r="F57" s="375"/>
      <c r="G57" s="375"/>
      <c r="H57" s="804" t="s">
        <v>18</v>
      </c>
      <c r="I57" s="804"/>
      <c r="J57" s="804"/>
      <c r="K57" s="804"/>
      <c r="L57" s="804"/>
      <c r="M57" s="375"/>
      <c r="N57" s="375"/>
    </row>
    <row r="58" spans="1:14">
      <c r="A58" s="204" t="s">
        <v>11</v>
      </c>
      <c r="H58" s="14"/>
      <c r="I58" s="14"/>
      <c r="J58" s="371" t="s">
        <v>84</v>
      </c>
      <c r="K58" s="371"/>
      <c r="L58" s="371"/>
      <c r="M58" s="33"/>
      <c r="N58" s="33"/>
    </row>
  </sheetData>
  <mergeCells count="19">
    <mergeCell ref="D1:I1"/>
    <mergeCell ref="A5:M5"/>
    <mergeCell ref="A3:M3"/>
    <mergeCell ref="A2:M2"/>
    <mergeCell ref="L1:M1"/>
    <mergeCell ref="H9:L9"/>
    <mergeCell ref="C9:G9"/>
    <mergeCell ref="N9:N10"/>
    <mergeCell ref="L8:N8"/>
    <mergeCell ref="A7:B7"/>
    <mergeCell ref="M9:M10"/>
    <mergeCell ref="B9:B10"/>
    <mergeCell ref="A9:A10"/>
    <mergeCell ref="A55:D55"/>
    <mergeCell ref="H55:L55"/>
    <mergeCell ref="A56:D56"/>
    <mergeCell ref="H56:L56"/>
    <mergeCell ref="A57:D57"/>
    <mergeCell ref="H57:L57"/>
  </mergeCells>
  <phoneticPr fontId="0" type="noConversion"/>
  <printOptions horizontalCentered="1"/>
  <pageMargins left="0.70866141732283472" right="0.70866141732283472" top="0.23622047244094491" bottom="0"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67</vt:i4>
      </vt:variant>
    </vt:vector>
  </HeadingPairs>
  <TitlesOfParts>
    <vt:vector size="139" baseType="lpstr">
      <vt:lpstr>First-Page</vt:lpstr>
      <vt:lpstr>Contents</vt:lpstr>
      <vt:lpstr>Sheet1</vt:lpstr>
      <vt:lpstr>AT-1-Gen_Info </vt:lpstr>
      <vt:lpstr>AT-2-S1 BUDGET</vt:lpstr>
      <vt:lpstr>AT_2A_fundflow</vt:lpstr>
      <vt:lpstr>AT-2B_DBT</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(2)</vt:lpstr>
      <vt:lpstr>AT27A-1_Req_FG_CA_U Pry </vt:lpstr>
      <vt:lpstr>AT27B_Req_FG_CA_N CLP</vt:lpstr>
      <vt:lpstr>AT27C_Req_FG_Drought -Pry </vt:lpstr>
      <vt:lpstr>AT27D_Req_FG_Drought -UPry </vt:lpstr>
      <vt:lpstr>AT_28_RqmtKitchen</vt:lpstr>
      <vt:lpstr>AT-28A_RqmtPlinthArea</vt:lpstr>
      <vt:lpstr>AT-28B_Kitchen repair</vt:lpstr>
      <vt:lpstr>AT29_Replacement KD </vt:lpstr>
      <vt:lpstr>AT29_A_Replacement KD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'AT-23A _AMS'!Print_Area</vt:lpstr>
      <vt:lpstr>'AT-24'!Print_Area</vt:lpstr>
      <vt:lpstr>'AT-25'!Print_Area</vt:lpstr>
      <vt:lpstr>AT26_NoWD!Print_Area</vt:lpstr>
      <vt:lpstr>AT26A_NoWD!Print_Area</vt:lpstr>
      <vt:lpstr>AT27_Req_FG_CA_Pry!Print_Area</vt:lpstr>
      <vt:lpstr>'AT27A_Req_FG_CA_U Pry  (2)'!Print_Area</vt:lpstr>
      <vt:lpstr>'AT27A-1_Req_FG_CA_U Pry '!Print_Area</vt:lpstr>
      <vt:lpstr>'AT27B_Req_FG_CA_N CLP'!Print_Area</vt:lpstr>
      <vt:lpstr>'AT27C_Req_FG_Drought -Pry '!Print_Area</vt:lpstr>
      <vt:lpstr>'AT27D_Req_FG_Drought -UPry '!Print_Area</vt:lpstr>
      <vt:lpstr>'AT-28A_RqmtPlinthArea'!Print_Area</vt:lpstr>
      <vt:lpstr>'AT-28B_Kitchen repair'!Print_Area</vt:lpstr>
      <vt:lpstr>'AT29_A_Replacement KD'!Print_Area</vt:lpstr>
      <vt:lpstr>'AT29_Replacement KD '!Print_Area</vt:lpstr>
      <vt:lpstr>'AT-2B_DBT'!Print_Area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'First-Page'!Print_Area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2020-05-17T05:34:21Z</cp:lastPrinted>
  <dcterms:created xsi:type="dcterms:W3CDTF">1996-10-14T23:33:28Z</dcterms:created>
  <dcterms:modified xsi:type="dcterms:W3CDTF">2020-05-17T17:13:48Z</dcterms:modified>
</cp:coreProperties>
</file>